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0\"/>
    </mc:Choice>
  </mc:AlternateContent>
  <bookViews>
    <workbookView xWindow="0" yWindow="0" windowWidth="19200" windowHeight="6585" activeTab="3"/>
  </bookViews>
  <sheets>
    <sheet name="Totales" sheetId="1" r:id="rId1"/>
    <sheet name="Deuda Directa" sheetId="2" r:id="rId2"/>
    <sheet name="Deuda Contingente" sheetId="3" r:id="rId3"/>
    <sheet name="Deuda OEP" sheetId="4" r:id="rId4"/>
  </sheets>
  <calcPr calcId="162913"/>
</workbook>
</file>

<file path=xl/calcChain.xml><?xml version="1.0" encoding="utf-8"?>
<calcChain xmlns="http://schemas.openxmlformats.org/spreadsheetml/2006/main">
  <c r="F89" i="4" l="1"/>
  <c r="F85" i="4"/>
  <c r="F83" i="4"/>
  <c r="F82" i="4"/>
  <c r="H72" i="4"/>
  <c r="G72" i="4"/>
  <c r="I1" i="4"/>
  <c r="H74" i="3"/>
  <c r="G74" i="3"/>
  <c r="G71" i="3"/>
  <c r="H71" i="3" s="1"/>
  <c r="G68" i="3"/>
  <c r="G58" i="3"/>
  <c r="G52" i="3"/>
  <c r="G42" i="3"/>
  <c r="H42" i="3" s="1"/>
  <c r="G23" i="3"/>
  <c r="H20" i="3"/>
  <c r="G20" i="3"/>
  <c r="G15" i="3"/>
  <c r="I1" i="3"/>
  <c r="Q47" i="2"/>
  <c r="Q46" i="2"/>
  <c r="Q45" i="2"/>
  <c r="Q44" i="2"/>
  <c r="Q43" i="2"/>
  <c r="Q42" i="2"/>
  <c r="Q41" i="2"/>
  <c r="I40" i="2"/>
  <c r="E12" i="1" s="1"/>
  <c r="E11" i="1" s="1"/>
  <c r="H40" i="2"/>
  <c r="G40" i="2"/>
  <c r="F40" i="2"/>
  <c r="I36" i="2"/>
  <c r="H36" i="2"/>
  <c r="G36" i="2"/>
  <c r="F36" i="2"/>
  <c r="D10" i="1" s="1"/>
  <c r="I33" i="2"/>
  <c r="E9" i="1" s="1"/>
  <c r="H33" i="2"/>
  <c r="G33" i="2"/>
  <c r="F33" i="2"/>
  <c r="I30" i="2"/>
  <c r="H30" i="2"/>
  <c r="G30" i="2"/>
  <c r="F30" i="2"/>
  <c r="H26" i="2"/>
  <c r="H25" i="2" s="1"/>
  <c r="G25" i="2"/>
  <c r="F25" i="2"/>
  <c r="D7" i="1" s="1"/>
  <c r="G23" i="2"/>
  <c r="G18" i="2" s="1"/>
  <c r="Q22" i="2"/>
  <c r="G22" i="2"/>
  <c r="H22" i="2" s="1"/>
  <c r="Q21" i="2"/>
  <c r="Q20" i="2"/>
  <c r="Q19" i="2"/>
  <c r="F18" i="2"/>
  <c r="H16" i="2"/>
  <c r="G16" i="2"/>
  <c r="H15" i="2"/>
  <c r="G15" i="2"/>
  <c r="H14" i="2"/>
  <c r="G14" i="2"/>
  <c r="H13" i="2"/>
  <c r="G13" i="2"/>
  <c r="G12" i="2"/>
  <c r="H12" i="2" s="1"/>
  <c r="G11" i="2"/>
  <c r="H11" i="2" s="1"/>
  <c r="G10" i="2"/>
  <c r="H10" i="2" s="1"/>
  <c r="G7" i="2"/>
  <c r="H7" i="2" s="1"/>
  <c r="H2" i="2" s="1"/>
  <c r="F2" i="2"/>
  <c r="I1" i="2"/>
  <c r="E25" i="1"/>
  <c r="D25" i="1"/>
  <c r="A25" i="1"/>
  <c r="E24" i="1"/>
  <c r="D24" i="1"/>
  <c r="D22" i="1" s="1"/>
  <c r="A24" i="1"/>
  <c r="D23" i="1"/>
  <c r="A23" i="1"/>
  <c r="A22" i="1"/>
  <c r="E21" i="1"/>
  <c r="D21" i="1"/>
  <c r="A21" i="1"/>
  <c r="D20" i="1"/>
  <c r="A20" i="1"/>
  <c r="D17" i="1"/>
  <c r="A17" i="1"/>
  <c r="D16" i="1"/>
  <c r="D14" i="1" s="1"/>
  <c r="A16" i="1"/>
  <c r="D15" i="1"/>
  <c r="A15" i="1"/>
  <c r="D12" i="1"/>
  <c r="D11" i="1" s="1"/>
  <c r="A12" i="1"/>
  <c r="A11" i="1"/>
  <c r="E10" i="1"/>
  <c r="A10" i="1"/>
  <c r="D9" i="1"/>
  <c r="A9" i="1"/>
  <c r="E8" i="1"/>
  <c r="D8" i="1"/>
  <c r="A8" i="1"/>
  <c r="A7" i="1"/>
  <c r="D6" i="1"/>
  <c r="A6" i="1"/>
  <c r="D5" i="1"/>
  <c r="A5" i="1"/>
  <c r="E3" i="1"/>
  <c r="C1" i="1"/>
  <c r="I2" i="2" l="1"/>
  <c r="E5" i="1" s="1"/>
  <c r="I18" i="2"/>
  <c r="E6" i="1" s="1"/>
  <c r="E16" i="1"/>
  <c r="E17" i="1"/>
  <c r="I25" i="2"/>
  <c r="E7" i="1" s="1"/>
  <c r="E15" i="1"/>
  <c r="E20" i="1"/>
  <c r="E23" i="1"/>
  <c r="E22" i="1" s="1"/>
  <c r="D4" i="1"/>
  <c r="D27" i="1" s="1"/>
  <c r="D19" i="1"/>
  <c r="G2" i="2"/>
  <c r="H23" i="2"/>
  <c r="H18" i="2" s="1"/>
  <c r="E19" i="1" l="1"/>
  <c r="E14" i="1"/>
  <c r="E4" i="1"/>
  <c r="E27" i="1" l="1"/>
</calcChain>
</file>

<file path=xl/sharedStrings.xml><?xml version="1.0" encoding="utf-8"?>
<sst xmlns="http://schemas.openxmlformats.org/spreadsheetml/2006/main" count="1799" uniqueCount="1008">
  <si>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</si>
  <si>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</si>
  <si>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</si>
  <si>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</si>
  <si>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</si>
  <si>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</si>
  <si>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</si>
  <si>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</si>
  <si>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</si>
  <si>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</si>
  <si>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</si>
  <si>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</si>
  <si>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</si>
  <si>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</si>
  <si>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</si>
  <si>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</si>
  <si>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</si>
  <si>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</si>
  <si>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</si>
  <si>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</si>
  <si>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</si>
  <si>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</si>
  <si>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</si>
  <si>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</si>
  <si>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</si>
  <si>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</si>
  <si>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</si>
  <si>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</si>
  <si>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</si>
  <si>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</si>
  <si>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</si>
  <si>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</si>
  <si>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</si>
  <si>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</si>
  <si>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</si>
  <si>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</si>
  <si>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</si>
  <si>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</si>
  <si>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</si>
  <si>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</si>
  <si>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</si>
  <si>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</si>
  <si>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</si>
  <si>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</si>
  <si>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</si>
  <si>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</si>
  <si>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</si>
  <si>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</si>
  <si>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</si>
  <si>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</si>
  <si>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</si>
  <si>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</si>
  <si>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</si>
  <si>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</si>
  <si>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</si>
  <si>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</si>
  <si>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</si>
  <si>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</si>
  <si>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</si>
  <si>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</si>
  <si>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</si>
  <si>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</si>
  <si>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</si>
  <si>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</si>
  <si>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</si>
  <si>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</si>
  <si>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</si>
  <si>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27913/LXII/2020</t>
  </si>
  <si>
    <t>TIIE28 +1.15%</t>
  </si>
  <si>
    <t>3,620 días</t>
  </si>
  <si>
    <t>HR AA+ (E)</t>
  </si>
  <si>
    <t>Aa2.mx</t>
  </si>
  <si>
    <t>P14-0820079</t>
  </si>
  <si>
    <t>015/2020</t>
  </si>
  <si>
    <t>TIIE28 +1.05%</t>
  </si>
  <si>
    <t>5,475 días</t>
  </si>
  <si>
    <t>P14-0820080</t>
  </si>
  <si>
    <t>016/2020</t>
  </si>
  <si>
    <t>Banco Nacional de México, S.A., Integrante del Grupo Financiero Citibanamex</t>
  </si>
  <si>
    <t>TIIE28 +1.20%</t>
  </si>
  <si>
    <t>P14-0820081</t>
  </si>
  <si>
    <t>017/2020</t>
  </si>
  <si>
    <t>7,300 días</t>
  </si>
  <si>
    <t>P14-0820082</t>
  </si>
  <si>
    <t>018/2020</t>
  </si>
  <si>
    <t>TIIE28 +0.99%</t>
  </si>
  <si>
    <t>P14-0820083</t>
  </si>
  <si>
    <t>019/2020</t>
  </si>
  <si>
    <t>TIIE28 +1.04%</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</si>
  <si>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</si>
  <si>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</si>
  <si>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</si>
  <si>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</si>
  <si>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</si>
  <si>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</si>
  <si>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</si>
  <si>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</si>
  <si>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</si>
  <si>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</si>
  <si>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</si>
  <si>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</si>
  <si>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</si>
  <si>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</si>
  <si>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</si>
  <si>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</si>
  <si>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</si>
  <si>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</si>
  <si>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</si>
  <si>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</si>
  <si>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</si>
  <si>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</si>
  <si>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</si>
  <si>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</si>
  <si>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</si>
  <si>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</si>
  <si>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</si>
  <si>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</si>
  <si>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BBVA Bancomer, Intitución de Banca Múltiple, Grupo Financiero BBVA Bancomer (Bancomer) </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</si>
  <si>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</si>
  <si>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</si>
  <si>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</si>
  <si>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</si>
  <si>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</si>
  <si>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</si>
  <si>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Q14-0520070</t>
  </si>
  <si>
    <t>010/2020</t>
  </si>
  <si>
    <t>Abril 27-2020</t>
  </si>
  <si>
    <t>TIIE +0.75%</t>
  </si>
  <si>
    <t>Q14-0520071</t>
  </si>
  <si>
    <t>011/2020</t>
  </si>
  <si>
    <t>TIIE +0.80%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</si>
  <si>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</si>
  <si>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</si>
  <si>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</si>
  <si>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</si>
  <si>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</si>
  <si>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</si>
  <si>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</si>
  <si>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</si>
  <si>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</si>
  <si>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</si>
  <si>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</si>
  <si>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</si>
  <si>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</si>
  <si>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</si>
  <si>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</si>
  <si>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</si>
  <si>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</si>
  <si>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</si>
  <si>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</si>
  <si>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</si>
  <si>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</si>
  <si>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</si>
  <si>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</si>
  <si>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</si>
  <si>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</si>
  <si>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</si>
  <si>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</si>
  <si>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</si>
  <si>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</si>
  <si>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</si>
  <si>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</si>
  <si>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</si>
  <si>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</si>
  <si>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</si>
  <si>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</si>
  <si>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</si>
  <si>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</si>
  <si>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</si>
  <si>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</si>
  <si>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</si>
  <si>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</si>
  <si>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</si>
  <si>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</si>
  <si>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</si>
  <si>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</si>
  <si>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</si>
  <si>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</si>
  <si>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</si>
  <si>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</si>
  <si>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</si>
  <si>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</si>
  <si>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</si>
  <si>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</si>
  <si>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</si>
  <si>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</si>
  <si>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</si>
  <si>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</si>
  <si>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</si>
  <si>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</si>
  <si>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</si>
  <si>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</si>
  <si>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</si>
  <si>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</si>
  <si>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</si>
  <si>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</si>
  <si>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</si>
  <si>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</si>
  <si>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</si>
  <si>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</si>
  <si>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</si>
  <si>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</si>
  <si>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</si>
  <si>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</si>
  <si>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</si>
  <si>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</si>
  <si>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</si>
  <si>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</si>
  <si>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</si>
  <si>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</si>
  <si>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</si>
  <si>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</si>
  <si>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</si>
  <si>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</si>
  <si>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</si>
  <si>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</si>
  <si>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</si>
  <si>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</si>
  <si>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</si>
  <si>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</si>
  <si>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</si>
  <si>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</si>
  <si>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</si>
  <si>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</si>
  <si>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</si>
  <si>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</si>
  <si>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</si>
  <si>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</si>
  <si>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</si>
  <si>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</si>
  <si>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</si>
  <si>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</si>
  <si>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</si>
  <si>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</si>
  <si>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</si>
  <si>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</si>
  <si>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</si>
  <si>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</si>
  <si>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</si>
  <si>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</si>
  <si>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</si>
  <si>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</si>
  <si>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</si>
  <si>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</si>
  <si>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</si>
  <si>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</si>
  <si>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</si>
  <si>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</si>
  <si>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</si>
  <si>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</si>
  <si>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</si>
  <si>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</si>
  <si>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</si>
  <si>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</si>
  <si>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</si>
  <si>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</si>
  <si>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</si>
  <si>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</si>
  <si>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</si>
  <si>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</si>
  <si>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</si>
  <si>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</si>
  <si>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</si>
  <si>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</si>
  <si>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</si>
  <si>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</si>
  <si>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</si>
  <si>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</si>
  <si>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</si>
  <si>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</si>
  <si>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</si>
  <si>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</si>
  <si>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</si>
  <si>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</si>
  <si>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</si>
  <si>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</si>
  <si>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</si>
  <si>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</si>
  <si>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</si>
  <si>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</si>
  <si>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</si>
  <si>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</si>
  <si>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</si>
  <si>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</si>
  <si>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</si>
  <si>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</si>
  <si>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</si>
  <si>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</si>
  <si>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</si>
  <si>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 xml:space="preserve"> NOV-2037</t>
  </si>
  <si>
    <t>P14-0518031</t>
  </si>
  <si>
    <t>022/2017</t>
  </si>
  <si>
    <t>Cocula</t>
  </si>
  <si>
    <t xml:space="preserve"> FEB-2038</t>
  </si>
  <si>
    <t>P14-0518040</t>
  </si>
  <si>
    <t>010/2018</t>
  </si>
  <si>
    <t xml:space="preserve">3,653 días   </t>
  </si>
  <si>
    <t xml:space="preserve"> OCT-2028</t>
  </si>
  <si>
    <t>P14-1117073</t>
  </si>
  <si>
    <t>027/2017</t>
  </si>
  <si>
    <t>Colotlán</t>
  </si>
  <si>
    <t xml:space="preserve"> FEB-2028</t>
  </si>
  <si>
    <t>P14-0518044</t>
  </si>
  <si>
    <t>006/2018</t>
  </si>
  <si>
    <t xml:space="preserve"> SEP-2028</t>
  </si>
  <si>
    <t>P14-1117078</t>
  </si>
  <si>
    <t>005/2017</t>
  </si>
  <si>
    <t>Cuautitlán de García Barragán</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</si>
  <si>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</si>
  <si>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</si>
  <si>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</si>
  <si>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</si>
  <si>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</si>
  <si>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</si>
  <si>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</si>
  <si>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</si>
  <si>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</si>
  <si>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</si>
  <si>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</si>
  <si>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</si>
  <si>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</si>
  <si>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</si>
  <si>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</si>
  <si>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</si>
  <si>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</si>
  <si>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</si>
  <si>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</si>
  <si>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</si>
  <si>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</si>
  <si>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</si>
  <si>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 xml:space="preserve"> MAR-2033</t>
  </si>
  <si>
    <t>P14-1216057</t>
  </si>
  <si>
    <t xml:space="preserve">015/2016 </t>
  </si>
  <si>
    <t xml:space="preserve">La Huerta </t>
  </si>
  <si>
    <t>P14-0518034</t>
  </si>
  <si>
    <t>008/2018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</si>
  <si>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</si>
  <si>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</si>
  <si>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</si>
  <si>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</si>
  <si>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</si>
  <si>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</si>
  <si>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</si>
  <si>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</si>
  <si>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</si>
  <si>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</si>
  <si>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</si>
  <si>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</si>
  <si>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</si>
  <si>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</si>
  <si>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</si>
  <si>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</si>
  <si>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</si>
  <si>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</si>
  <si>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</si>
  <si>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</si>
  <si>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</si>
  <si>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</si>
  <si>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</si>
  <si>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</si>
  <si>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SEP 22-2017</t>
  </si>
  <si>
    <t>P14-1217132</t>
  </si>
  <si>
    <t>038/2017</t>
  </si>
  <si>
    <t xml:space="preserve">Puerto Vallarta </t>
  </si>
  <si>
    <t xml:space="preserve"> ABR-2028</t>
  </si>
  <si>
    <t>P14-0219005</t>
  </si>
  <si>
    <t>023/2018</t>
  </si>
  <si>
    <t>DIC 24-2018</t>
  </si>
  <si>
    <t xml:space="preserve">1,096 días   </t>
  </si>
  <si>
    <t xml:space="preserve"> JUN-2022</t>
  </si>
  <si>
    <t>P14-1117077</t>
  </si>
  <si>
    <t>026/2017</t>
  </si>
  <si>
    <t>San Julián</t>
  </si>
  <si>
    <t>P14-1117079</t>
  </si>
  <si>
    <t>003/2017</t>
  </si>
  <si>
    <t>San Marcos</t>
  </si>
  <si>
    <t>P14-1217081</t>
  </si>
  <si>
    <t>021/2017</t>
  </si>
  <si>
    <t>San Martín Hidalgo</t>
  </si>
  <si>
    <t>P14-0917047</t>
  </si>
  <si>
    <t>007/2017</t>
  </si>
  <si>
    <t>Sayula</t>
  </si>
  <si>
    <t xml:space="preserve"> OCT-2032</t>
  </si>
  <si>
    <t>P14-1117075</t>
  </si>
  <si>
    <t>035/2017</t>
  </si>
  <si>
    <t>P14-1216081</t>
  </si>
  <si>
    <t xml:space="preserve">010/2016 </t>
  </si>
  <si>
    <t>Tala</t>
  </si>
  <si>
    <t>P14-0819016</t>
  </si>
  <si>
    <t>021/2018</t>
  </si>
  <si>
    <t>Tamazula de Gordiano</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</si>
  <si>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</si>
  <si>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</si>
  <si>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</si>
  <si>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</si>
  <si>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</si>
  <si>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</si>
  <si>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</si>
  <si>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</si>
  <si>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</si>
  <si>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</si>
  <si>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</si>
  <si>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</si>
  <si>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</si>
  <si>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</si>
  <si>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</si>
  <si>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</si>
  <si>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</si>
  <si>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FEB 27-2017</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</si>
  <si>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</si>
  <si>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</si>
  <si>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</si>
  <si>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</si>
  <si>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</si>
  <si>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</si>
  <si>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</si>
  <si>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</si>
  <si>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</si>
  <si>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</si>
  <si>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</si>
  <si>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</si>
  <si>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</si>
  <si>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</si>
  <si>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</si>
  <si>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</si>
  <si>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</si>
  <si>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</si>
  <si>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</si>
  <si>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</si>
  <si>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</si>
  <si>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</si>
  <si>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</si>
  <si>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</si>
  <si>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</si>
  <si>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</si>
  <si>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</si>
  <si>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</si>
  <si>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</si>
  <si>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</si>
  <si>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</si>
  <si>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</si>
  <si>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</si>
  <si>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</si>
  <si>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 xml:space="preserve"> MAY-2028</t>
  </si>
  <si>
    <t>P14-0418025</t>
  </si>
  <si>
    <t>028/2017</t>
  </si>
  <si>
    <t>Villa Guerrero</t>
  </si>
  <si>
    <t>AGO 30-2017</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</si>
  <si>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</si>
  <si>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</si>
  <si>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</si>
  <si>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</si>
  <si>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</si>
  <si>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</si>
  <si>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</si>
  <si>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</si>
  <si>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</si>
  <si>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</si>
  <si>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</si>
  <si>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</si>
  <si>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</si>
  <si>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</si>
  <si>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</si>
  <si>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</si>
  <si>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</si>
  <si>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</si>
  <si>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</si>
  <si>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</si>
  <si>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</si>
  <si>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</si>
  <si>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</si>
  <si>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TIIE+1.05%</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</si>
  <si>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</si>
  <si>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</si>
  <si>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</si>
  <si>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</si>
  <si>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</si>
  <si>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</si>
  <si>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</si>
  <si>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</si>
  <si>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</si>
  <si>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</si>
  <si>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</si>
  <si>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</si>
  <si>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</si>
  <si>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</si>
  <si>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</si>
  <si>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</si>
  <si>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</si>
  <si>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</si>
  <si>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</si>
  <si>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</si>
  <si>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</si>
  <si>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</si>
  <si>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</si>
  <si>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</si>
  <si>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</si>
  <si>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</si>
  <si>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</si>
  <si>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</si>
  <si>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</si>
  <si>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</si>
  <si>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</si>
  <si>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</si>
  <si>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</si>
  <si>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</si>
  <si>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</si>
  <si>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</si>
  <si>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</si>
  <si>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</si>
  <si>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</si>
  <si>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</si>
  <si>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</si>
  <si>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</si>
  <si>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</si>
  <si>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</si>
  <si>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</si>
  <si>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</si>
  <si>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</si>
  <si>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</si>
  <si>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</si>
  <si>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</si>
  <si>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</si>
  <si>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</si>
  <si>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</si>
  <si>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</si>
  <si>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</si>
  <si>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</si>
  <si>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</si>
  <si>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</si>
  <si>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</si>
  <si>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</si>
  <si>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</si>
  <si>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</si>
  <si>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</si>
  <si>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</si>
  <si>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</si>
  <si>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</si>
  <si>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</si>
  <si>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</si>
  <si>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</si>
  <si>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</si>
  <si>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</si>
  <si>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</si>
  <si>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</si>
  <si>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</si>
  <si>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</si>
  <si>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</si>
  <si>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</si>
  <si>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</si>
  <si>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</si>
  <si>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</si>
  <si>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</si>
  <si>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</si>
  <si>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</si>
  <si>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</si>
  <si>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</si>
  <si>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</si>
  <si>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</si>
  <si>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</si>
  <si>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</si>
  <si>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</si>
  <si>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</si>
  <si>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</si>
  <si>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</si>
  <si>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</si>
  <si>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</si>
  <si>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</si>
  <si>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</si>
  <si>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</si>
  <si>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</si>
  <si>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</si>
  <si>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</si>
  <si>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</si>
  <si>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</si>
  <si>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</si>
  <si>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</si>
  <si>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</si>
  <si>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</si>
  <si>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</si>
  <si>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</si>
  <si>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</si>
  <si>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</si>
  <si>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</si>
  <si>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</si>
  <si>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</si>
  <si>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</si>
  <si>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</si>
  <si>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</si>
  <si>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</si>
  <si>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</si>
  <si>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</si>
  <si>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</si>
  <si>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</si>
  <si>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</si>
  <si>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</si>
  <si>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</si>
  <si>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</si>
  <si>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</si>
  <si>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</si>
  <si>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</si>
  <si>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</si>
  <si>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</si>
  <si>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</si>
  <si>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</si>
  <si>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</si>
  <si>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</si>
  <si>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</si>
  <si>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</si>
  <si>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</si>
  <si>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526/2011</t>
  </si>
  <si>
    <t>077/2011</t>
  </si>
  <si>
    <t>Jalostotitlán</t>
  </si>
  <si>
    <t>JUL 28-2011</t>
  </si>
  <si>
    <t>TIIE + 2.78%</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</si>
  <si>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</si>
  <si>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</si>
  <si>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</si>
  <si>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</si>
  <si>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</si>
  <si>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</si>
  <si>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</si>
  <si>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</si>
  <si>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</si>
  <si>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</si>
  <si>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</si>
  <si>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</si>
  <si>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</si>
  <si>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</si>
  <si>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</si>
  <si>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</si>
  <si>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</si>
  <si>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</si>
  <si>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</si>
  <si>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</si>
  <si>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</si>
  <si>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</si>
  <si>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</si>
  <si>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</si>
  <si>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</si>
  <si>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</si>
  <si>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</si>
  <si>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</si>
  <si>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</si>
  <si>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</si>
  <si>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</si>
  <si>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</si>
  <si>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</si>
  <si>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</si>
  <si>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</si>
  <si>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</si>
  <si>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</si>
  <si>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</si>
  <si>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</si>
  <si>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</si>
  <si>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</si>
  <si>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</si>
  <si>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</si>
  <si>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</si>
  <si>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</si>
  <si>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354/2011</t>
  </si>
  <si>
    <t>061/2011</t>
  </si>
  <si>
    <t>San Gabriel</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</si>
  <si>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</si>
  <si>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</si>
  <si>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</si>
  <si>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</si>
  <si>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</si>
  <si>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</si>
  <si>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</si>
  <si>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</si>
  <si>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</si>
  <si>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</si>
  <si>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</si>
  <si>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</si>
  <si>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</si>
  <si>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</si>
  <si>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</si>
  <si>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</si>
  <si>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</si>
  <si>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</si>
  <si>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</si>
  <si>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</si>
  <si>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</si>
  <si>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P14-1115137</t>
  </si>
  <si>
    <t>035/2015</t>
  </si>
  <si>
    <t xml:space="preserve"> OCT 26-2015</t>
  </si>
  <si>
    <t xml:space="preserve"> MAY 20-2015</t>
  </si>
  <si>
    <t>TIIE+3.50%</t>
  </si>
  <si>
    <t xml:space="preserve"> OCT-2020</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</si>
  <si>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</si>
  <si>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</si>
  <si>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</si>
  <si>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</si>
  <si>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</si>
  <si>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</si>
  <si>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</si>
  <si>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</si>
  <si>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</si>
  <si>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</si>
  <si>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</si>
  <si>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</si>
  <si>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</si>
  <si>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</si>
  <si>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</si>
  <si>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</si>
  <si>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</si>
  <si>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</si>
  <si>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</si>
  <si>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</si>
  <si>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</si>
  <si>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</si>
  <si>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</si>
  <si>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</si>
  <si>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</si>
  <si>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</si>
  <si>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</si>
  <si>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</si>
  <si>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</si>
  <si>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</si>
  <si>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</si>
  <si>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</si>
  <si>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</si>
  <si>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</si>
  <si>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</si>
  <si>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</si>
  <si>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</si>
  <si>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</si>
  <si>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</si>
  <si>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</si>
  <si>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</si>
  <si>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</si>
  <si>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</si>
  <si>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</si>
  <si>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</si>
  <si>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</si>
  <si>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</si>
  <si>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</si>
  <si>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</si>
  <si>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</si>
  <si>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</si>
  <si>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</si>
  <si>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</si>
  <si>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</si>
  <si>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</si>
  <si>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</si>
  <si>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</si>
  <si>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</si>
  <si>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</si>
  <si>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</si>
  <si>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</si>
  <si>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</si>
  <si>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</si>
  <si>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</si>
  <si>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</si>
  <si>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</si>
  <si>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</si>
  <si>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</si>
  <si>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</si>
  <si>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+ 0.96%</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</si>
  <si>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</si>
  <si>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</si>
  <si>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</si>
  <si>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</si>
  <si>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</si>
  <si>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</si>
  <si>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</si>
  <si>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</si>
  <si>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</si>
  <si>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</si>
  <si>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</si>
  <si>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</si>
  <si>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</si>
  <si>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</si>
  <si>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</si>
  <si>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</si>
  <si>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</si>
  <si>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</si>
  <si>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</si>
  <si>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</si>
  <si>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</si>
  <si>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</si>
  <si>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</si>
  <si>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</si>
  <si>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</si>
  <si>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</si>
  <si>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</si>
  <si>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</si>
  <si>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</si>
  <si>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</si>
  <si>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</si>
  <si>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</si>
  <si>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</si>
  <si>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</si>
  <si>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</si>
  <si>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</si>
  <si>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</si>
  <si>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</si>
  <si>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</si>
  <si>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</si>
  <si>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</si>
  <si>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</si>
  <si>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</si>
  <si>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</si>
  <si>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</si>
  <si>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</si>
  <si>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</si>
  <si>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</si>
  <si>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</si>
  <si>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</si>
  <si>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</si>
  <si>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21-2007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</si>
  <si>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</si>
  <si>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</si>
  <si>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</si>
  <si>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</si>
  <si>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</si>
  <si>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</si>
  <si>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</si>
  <si>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</si>
  <si>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</si>
  <si>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</si>
  <si>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</si>
  <si>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</si>
  <si>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</si>
  <si>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</si>
  <si>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</si>
  <si>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</si>
  <si>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</si>
  <si>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</si>
  <si>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</si>
  <si>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</si>
  <si>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</si>
  <si>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</si>
  <si>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</si>
  <si>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</si>
  <si>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</si>
  <si>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</si>
  <si>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</si>
  <si>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</si>
  <si>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</si>
  <si>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</si>
  <si>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</si>
  <si>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</si>
  <si>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</si>
  <si>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</si>
  <si>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</si>
  <si>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</si>
  <si>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</si>
  <si>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</si>
  <si>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</si>
  <si>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</si>
  <si>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</si>
  <si>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</si>
  <si>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</si>
  <si>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</si>
  <si>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</si>
  <si>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</si>
  <si>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</si>
  <si>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</si>
  <si>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</si>
  <si>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</si>
  <si>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</si>
  <si>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</si>
  <si>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</si>
  <si>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</si>
  <si>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</si>
  <si>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</si>
  <si>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</si>
  <si>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</si>
  <si>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</si>
  <si>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</si>
  <si>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</si>
  <si>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</si>
  <si>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</si>
  <si>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</si>
  <si>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</si>
  <si>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</si>
  <si>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</si>
  <si>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</si>
  <si>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</si>
  <si>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</si>
  <si>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</si>
  <si>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</si>
  <si>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</si>
  <si>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</si>
  <si>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</si>
  <si>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</si>
  <si>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</si>
  <si>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</si>
  <si>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</si>
  <si>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</si>
  <si>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</si>
  <si>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</si>
  <si>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Q14-0920130</t>
  </si>
  <si>
    <t>013/2020</t>
  </si>
  <si>
    <t xml:space="preserve">Guadalajara </t>
  </si>
  <si>
    <t xml:space="preserve">HSCB México </t>
  </si>
  <si>
    <t>JUL 06-2020</t>
  </si>
  <si>
    <t>Sesión Ordinaría del Ayuntamiento Celebrada el 19 de octubre de 2018</t>
  </si>
  <si>
    <t>NAFIN +4.50%</t>
  </si>
  <si>
    <t>359 días</t>
  </si>
  <si>
    <t>JUN 29-2021</t>
  </si>
  <si>
    <t>Q14-1020138</t>
  </si>
  <si>
    <t>022/2020</t>
  </si>
  <si>
    <t xml:space="preserve">BanBajío </t>
  </si>
  <si>
    <t>AGO 19-2020</t>
  </si>
  <si>
    <t>NAFIN +2.75%</t>
  </si>
  <si>
    <t xml:space="preserve">315 días </t>
  </si>
  <si>
    <t>Q14-1020139</t>
  </si>
  <si>
    <t>023/2020</t>
  </si>
  <si>
    <t xml:space="preserve">Afirme </t>
  </si>
  <si>
    <t>AGO 20-2020</t>
  </si>
  <si>
    <t xml:space="preserve">314 días </t>
  </si>
  <si>
    <t>Q14-1020137</t>
  </si>
  <si>
    <t>024/2020</t>
  </si>
  <si>
    <t xml:space="preserve">Santander </t>
  </si>
  <si>
    <t>AGO 14-2020</t>
  </si>
  <si>
    <t>NAFIN +3.25%</t>
  </si>
  <si>
    <t xml:space="preserve">320 días </t>
  </si>
  <si>
    <t>Q14-1219125</t>
  </si>
  <si>
    <t>038/2019</t>
  </si>
  <si>
    <t>Financiera Bajío,</t>
  </si>
  <si>
    <t>NOV 21-2019</t>
  </si>
  <si>
    <t xml:space="preserve">Acta número 590/2019 de la Sesión Extraordinaria del Ayuntamiento del Municipio de Tlajomulco de Zúñiga, Jalisco celebrada el 26 de septiembre de 2019. </t>
  </si>
  <si>
    <t>NAFIN+3.50%</t>
  </si>
  <si>
    <t xml:space="preserve"> NOV-2020</t>
  </si>
  <si>
    <t>026/2020</t>
  </si>
  <si>
    <t xml:space="preserve">Banregio </t>
  </si>
  <si>
    <t>OCT 01-2020</t>
  </si>
  <si>
    <t>Acta número 605/2020 de la Sesión Ordinaria del Ayuntamiento del Municipio de Tlajomulco de Zúñiga, Jalisco celebrada el 22 de julio del 2020.</t>
  </si>
  <si>
    <t>272 días</t>
  </si>
  <si>
    <t>025/2020</t>
  </si>
  <si>
    <t xml:space="preserve">Zapopan </t>
  </si>
  <si>
    <t xml:space="preserve">Scotiabank </t>
  </si>
  <si>
    <t>SEP 17-2020</t>
  </si>
  <si>
    <t>Acta de Sesión Ordinaria del H. Ayuntamiento del Municipio de Zapopan, Jalisco celebrada el 26 de noviembre de 2019.</t>
  </si>
  <si>
    <t>286 días</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</si>
  <si>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</si>
  <si>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</si>
  <si>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</si>
  <si>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</si>
  <si>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</si>
  <si>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</si>
  <si>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</si>
  <si>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</si>
  <si>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</si>
  <si>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</si>
  <si>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</si>
  <si>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</si>
  <si>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</si>
  <si>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</si>
  <si>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</si>
  <si>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</si>
  <si>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</si>
  <si>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</si>
  <si>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</si>
  <si>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</si>
  <si>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</si>
  <si>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</si>
  <si>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</si>
  <si>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</si>
  <si>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</si>
  <si>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</si>
  <si>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</si>
  <si>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</si>
  <si>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</si>
  <si>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</si>
  <si>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</si>
  <si>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</si>
  <si>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</si>
  <si>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</si>
  <si>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</si>
  <si>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</si>
  <si>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</si>
  <si>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</si>
  <si>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</si>
  <si>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</si>
  <si>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</si>
  <si>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</si>
  <si>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</si>
  <si>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</si>
  <si>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</si>
  <si>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</si>
  <si>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P14-0318017</t>
  </si>
  <si>
    <t>027-2015</t>
  </si>
  <si>
    <t>MEXILED S.A. DE C.V.</t>
  </si>
  <si>
    <t>SEP 29-2014</t>
  </si>
  <si>
    <t>Acta de Cabildo de fecha 10 de Septiembre de 2014.</t>
  </si>
  <si>
    <t>N.A</t>
  </si>
  <si>
    <t>7305 días</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</si>
  <si>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</si>
  <si>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</si>
  <si>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</si>
  <si>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</si>
  <si>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</si>
  <si>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</si>
  <si>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</si>
  <si>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</si>
  <si>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</si>
  <si>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OCT 26-2017</t>
  </si>
  <si>
    <t>MAY 08-2017</t>
  </si>
  <si>
    <t>ABR 05-2018</t>
  </si>
  <si>
    <t>MAR 21-2018</t>
  </si>
  <si>
    <t>MAR 20-2018</t>
  </si>
  <si>
    <t>OCT 20-2017</t>
  </si>
  <si>
    <t>ABR 27-2017</t>
  </si>
  <si>
    <t>NOV 13-2017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</si>
</sst>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quot;/&quot;m&quot;/&quot;yy"/>
    <numFmt numFmtId="165" formatCode="_-* #,##0_-;\-* #,##0_-;_-* &quot;-&quot;??_-;_-@"/>
    <numFmt numFmtId="166" formatCode="_-* #,##0.00_-;\-* #,##0.00_-;_-* &quot;-&quot;??_-;_-@"/>
    <numFmt numFmtId="167" formatCode="d/m/yyyy"/>
    <numFmt numFmtId="168" formatCode="mmm\-yyyy"/>
  </numFmts>
  <fonts count="20" x14ac:knownFonts="1">
    <font>
      <sz val="11"/>
      <color theme="1"/>
      <name val="Arial"/>
    </font>
    <font>
      <b/>
      <sz val="10"/>
      <color theme="0"/>
      <name val="Arial"/>
    </font>
    <font>
      <b/>
      <sz val="24"/>
      <color rgb="FFFFFFFF"/>
      <name val="Arial"/>
    </font>
    <font>
      <sz val="11"/>
      <color rgb="FFFFFFFF"/>
      <name val="Arial"/>
    </font>
    <font>
      <b/>
      <sz val="10"/>
      <color rgb="FFFFFFFF"/>
      <name val="Arial"/>
    </font>
    <font>
      <b/>
      <sz val="14"/>
      <color rgb="FFFFFFFF"/>
      <name val="Arial"/>
    </font>
    <font>
      <b/>
      <sz val="14"/>
      <color theme="0"/>
      <name val="Arial"/>
    </font>
    <font>
      <b/>
      <sz val="14"/>
      <color rgb="FF000000"/>
      <name val="Arial"/>
    </font>
    <font>
      <sz val="11"/>
      <name val="Arial"/>
    </font>
    <font>
      <sz val="11"/>
      <color rgb="FF000000"/>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9"/>
      <color theme="1"/>
      <name val="Arial"/>
    </font>
  </fonts>
  <fills count="7">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s>
  <borders count="31">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right/>
      <top/>
      <bottom style="thin">
        <color rgb="FF000000"/>
      </bottom>
      <diagonal/>
    </border>
    <border>
      <left/>
      <right/>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s>
  <cellStyleXfs count="1">
    <xf numFmtId="0" fontId="0" fillId="0" borderId="0"/>
  </cellStyleXfs>
  <cellXfs count="251">
    <xf numFmtId="0" fontId="0" fillId="0" borderId="0" xfId="0" applyFont="1" applyAlignment="1"/>
    <xf numFmtId="0" fontId="1" fillId="2" borderId="0" xfId="0" applyFont="1" applyFill="1" applyAlignment="1">
      <alignment horizontal="center" vertical="center" wrapText="1"/>
    </xf>
    <xf numFmtId="0" fontId="2" fillId="3" borderId="1" xfId="0" applyFont="1" applyFill="1" applyBorder="1" applyAlignment="1">
      <alignment horizontal="left" vertical="center" wrapText="1"/>
    </xf>
    <xf numFmtId="14" fontId="3" fillId="4" borderId="2" xfId="0" applyNumberFormat="1" applyFont="1" applyFill="1" applyBorder="1" applyAlignment="1"/>
    <xf numFmtId="0" fontId="0" fillId="4" borderId="2" xfId="0" applyFont="1" applyFill="1" applyBorder="1" applyAlignment="1">
      <alignment horizontal="center"/>
    </xf>
    <xf numFmtId="0" fontId="0" fillId="4" borderId="2" xfId="0" applyFont="1" applyFill="1" applyBorder="1"/>
    <xf numFmtId="0" fontId="0" fillId="4" borderId="3" xfId="0" applyFont="1" applyFill="1" applyBorder="1"/>
    <xf numFmtId="0" fontId="0" fillId="3" borderId="1" xfId="0" applyFont="1" applyFill="1" applyBorder="1"/>
    <xf numFmtId="0" fontId="1"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5" borderId="5" xfId="0" applyFont="1" applyFill="1" applyBorder="1" applyAlignment="1">
      <alignment horizontal="left" vertical="center"/>
    </xf>
    <xf numFmtId="0" fontId="6" fillId="5" borderId="6" xfId="0" applyFont="1" applyFill="1" applyBorder="1" applyAlignment="1">
      <alignment horizontal="left" vertical="center"/>
    </xf>
    <xf numFmtId="165" fontId="6" fillId="5" borderId="6" xfId="0" applyNumberFormat="1" applyFont="1" applyFill="1" applyBorder="1" applyAlignment="1">
      <alignment horizontal="right" vertical="center"/>
    </xf>
    <xf numFmtId="165" fontId="0" fillId="4" borderId="10" xfId="0" applyNumberFormat="1" applyFont="1" applyFill="1" applyBorder="1" applyAlignment="1">
      <alignment horizontal="right" vertical="center"/>
    </xf>
    <xf numFmtId="165" fontId="9" fillId="3" borderId="1" xfId="0" applyNumberFormat="1" applyFont="1" applyFill="1" applyBorder="1" applyAlignment="1">
      <alignment horizontal="right" vertical="center"/>
    </xf>
    <xf numFmtId="165" fontId="0" fillId="4" borderId="1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5" fontId="11" fillId="4" borderId="10" xfId="0" applyNumberFormat="1" applyFont="1" applyFill="1" applyBorder="1" applyAlignment="1">
      <alignment horizontal="right" vertical="center"/>
    </xf>
    <xf numFmtId="0" fontId="7" fillId="0" borderId="13" xfId="0" applyFont="1" applyBorder="1" applyAlignment="1">
      <alignment horizontal="left" vertical="center" wrapText="1"/>
    </xf>
    <xf numFmtId="0" fontId="0" fillId="4" borderId="13" xfId="0" applyFont="1" applyFill="1" applyBorder="1"/>
    <xf numFmtId="165" fontId="0" fillId="4" borderId="13" xfId="0" applyNumberFormat="1" applyFont="1" applyFill="1" applyBorder="1" applyAlignment="1">
      <alignment horizontal="right" vertical="center"/>
    </xf>
    <xf numFmtId="165" fontId="6" fillId="3" borderId="1" xfId="0" applyNumberFormat="1" applyFont="1" applyFill="1" applyBorder="1" applyAlignment="1">
      <alignment horizontal="right" vertical="center"/>
    </xf>
    <xf numFmtId="0" fontId="7" fillId="0" borderId="7" xfId="0" applyFont="1" applyBorder="1" applyAlignment="1">
      <alignment horizontal="left" vertical="center"/>
    </xf>
    <xf numFmtId="0" fontId="0" fillId="4" borderId="7" xfId="0" applyFont="1" applyFill="1" applyBorder="1"/>
    <xf numFmtId="165" fontId="0" fillId="4" borderId="7" xfId="0" applyNumberFormat="1" applyFont="1" applyFill="1" applyBorder="1"/>
    <xf numFmtId="165" fontId="0" fillId="3" borderId="1" xfId="0" applyNumberFormat="1" applyFont="1" applyFill="1" applyBorder="1"/>
    <xf numFmtId="0" fontId="7" fillId="0" borderId="11" xfId="0" applyFont="1" applyBorder="1" applyAlignment="1">
      <alignment horizontal="left" vertical="center"/>
    </xf>
    <xf numFmtId="0" fontId="0" fillId="4" borderId="11" xfId="0" applyFont="1" applyFill="1" applyBorder="1"/>
    <xf numFmtId="165" fontId="0" fillId="4" borderId="11" xfId="0" applyNumberFormat="1" applyFont="1" applyFill="1" applyBorder="1"/>
    <xf numFmtId="0" fontId="7" fillId="0" borderId="14" xfId="0" applyFont="1" applyBorder="1" applyAlignment="1">
      <alignment horizontal="left" vertical="center"/>
    </xf>
    <xf numFmtId="0" fontId="7" fillId="3" borderId="1" xfId="0" applyFont="1" applyFill="1" applyBorder="1" applyAlignment="1">
      <alignment horizontal="left" vertical="center"/>
    </xf>
    <xf numFmtId="165" fontId="0" fillId="4" borderId="11" xfId="0" applyNumberFormat="1" applyFont="1" applyFill="1" applyBorder="1" applyAlignment="1">
      <alignment vertical="center"/>
    </xf>
    <xf numFmtId="165" fontId="11" fillId="4" borderId="11" xfId="0" applyNumberFormat="1" applyFont="1" applyFill="1" applyBorder="1"/>
    <xf numFmtId="165" fontId="13" fillId="2" borderId="4" xfId="0" applyNumberFormat="1" applyFont="1" applyFill="1" applyBorder="1" applyAlignment="1">
      <alignment horizontal="center" vertical="center" wrapText="1"/>
    </xf>
    <xf numFmtId="165" fontId="13" fillId="2" borderId="5" xfId="0" applyNumberFormat="1"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5" borderId="3" xfId="0" applyFont="1" applyFill="1" applyBorder="1" applyAlignment="1">
      <alignment horizontal="left" vertical="center"/>
    </xf>
    <xf numFmtId="0" fontId="6" fillId="5" borderId="16" xfId="0" applyFont="1" applyFill="1" applyBorder="1" applyAlignment="1">
      <alignment horizontal="left" vertical="center"/>
    </xf>
    <xf numFmtId="4" fontId="1" fillId="5" borderId="16" xfId="0" applyNumberFormat="1" applyFont="1" applyFill="1" applyBorder="1" applyAlignment="1">
      <alignment horizontal="center" vertical="center"/>
    </xf>
    <xf numFmtId="166" fontId="1" fillId="5" borderId="16" xfId="0" applyNumberFormat="1" applyFont="1" applyFill="1" applyBorder="1" applyAlignment="1">
      <alignment horizontal="left" vertical="center"/>
    </xf>
    <xf numFmtId="0" fontId="14" fillId="4" borderId="17" xfId="0" applyFont="1" applyFill="1" applyBorder="1" applyAlignment="1">
      <alignment horizontal="center" vertical="center"/>
    </xf>
    <xf numFmtId="0" fontId="14" fillId="4" borderId="17" xfId="0" applyFont="1" applyFill="1" applyBorder="1" applyAlignment="1">
      <alignment horizontal="left" vertical="center" wrapText="1"/>
    </xf>
    <xf numFmtId="0" fontId="14" fillId="4" borderId="17" xfId="0" applyFont="1" applyFill="1" applyBorder="1" applyAlignment="1">
      <alignment horizontal="left" vertical="center" wrapText="1"/>
    </xf>
    <xf numFmtId="4" fontId="14" fillId="4" borderId="17" xfId="0" applyNumberFormat="1" applyFont="1" applyFill="1" applyBorder="1" applyAlignment="1">
      <alignment horizontal="right" vertical="center"/>
    </xf>
    <xf numFmtId="166" fontId="14" fillId="0" borderId="17" xfId="0" applyNumberFormat="1" applyFont="1" applyBorder="1" applyAlignment="1">
      <alignment horizontal="center" vertical="center"/>
    </xf>
    <xf numFmtId="166" fontId="14" fillId="3" borderId="17" xfId="0" applyNumberFormat="1" applyFont="1" applyFill="1" applyBorder="1" applyAlignment="1">
      <alignment horizontal="center" vertical="center"/>
    </xf>
    <xf numFmtId="0" fontId="14" fillId="4" borderId="17" xfId="0" applyFont="1" applyFill="1" applyBorder="1" applyAlignment="1">
      <alignment horizontal="center" vertical="center"/>
    </xf>
    <xf numFmtId="3" fontId="14" fillId="4" borderId="17" xfId="0" applyNumberFormat="1" applyFont="1" applyFill="1" applyBorder="1" applyAlignment="1">
      <alignment horizontal="center" vertical="center" wrapText="1"/>
    </xf>
    <xf numFmtId="3" fontId="14" fillId="4"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0" fontId="15" fillId="4" borderId="17" xfId="0" applyFont="1" applyFill="1" applyBorder="1" applyAlignment="1">
      <alignment horizontal="center" vertical="center" wrapText="1"/>
    </xf>
    <xf numFmtId="10" fontId="14" fillId="4"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10" fontId="15" fillId="4" borderId="17" xfId="0" applyNumberFormat="1" applyFont="1" applyFill="1" applyBorder="1" applyAlignment="1">
      <alignment horizontal="center" vertical="center"/>
    </xf>
    <xf numFmtId="4" fontId="14" fillId="3" borderId="17" xfId="0" applyNumberFormat="1" applyFont="1" applyFill="1" applyBorder="1" applyAlignment="1">
      <alignment vertical="center"/>
    </xf>
    <xf numFmtId="166" fontId="14" fillId="3" borderId="17" xfId="0" applyNumberFormat="1" applyFont="1" applyFill="1" applyBorder="1" applyAlignment="1">
      <alignment horizontal="center" vertical="center"/>
    </xf>
    <xf numFmtId="0" fontId="16" fillId="0" borderId="12" xfId="0" applyFont="1" applyBorder="1" applyAlignment="1">
      <alignment horizontal="center" vertical="center" wrapText="1"/>
    </xf>
    <xf numFmtId="0" fontId="14" fillId="4" borderId="17" xfId="0" applyFont="1" applyFill="1" applyBorder="1"/>
    <xf numFmtId="4" fontId="14" fillId="4" borderId="17" xfId="0" applyNumberFormat="1" applyFont="1" applyFill="1" applyBorder="1" applyAlignment="1">
      <alignment vertical="center"/>
    </xf>
    <xf numFmtId="4" fontId="14" fillId="0" borderId="17" xfId="0" applyNumberFormat="1" applyFont="1" applyBorder="1" applyAlignment="1">
      <alignment vertical="center"/>
    </xf>
    <xf numFmtId="14" fontId="14" fillId="4" borderId="17"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0" fillId="4" borderId="18" xfId="0" applyFont="1" applyFill="1" applyBorder="1"/>
    <xf numFmtId="0" fontId="0" fillId="4" borderId="19" xfId="0" applyFont="1" applyFill="1" applyBorder="1"/>
    <xf numFmtId="4" fontId="1" fillId="5" borderId="16" xfId="0" applyNumberFormat="1" applyFont="1" applyFill="1" applyBorder="1" applyAlignment="1">
      <alignment horizontal="left" vertical="center"/>
    </xf>
    <xf numFmtId="0" fontId="14" fillId="4" borderId="17" xfId="0" applyFont="1" applyFill="1" applyBorder="1" applyAlignment="1">
      <alignment horizontal="left" vertical="center"/>
    </xf>
    <xf numFmtId="4" fontId="14" fillId="4" borderId="17" xfId="0" applyNumberFormat="1" applyFont="1" applyFill="1" applyBorder="1" applyAlignment="1">
      <alignment vertical="center"/>
    </xf>
    <xf numFmtId="0" fontId="14" fillId="4" borderId="17" xfId="0" applyFont="1" applyFill="1" applyBorder="1" applyAlignment="1">
      <alignment horizontal="center" vertical="center" wrapText="1"/>
    </xf>
    <xf numFmtId="17" fontId="14" fillId="4" borderId="17" xfId="0" applyNumberFormat="1" applyFont="1" applyFill="1" applyBorder="1" applyAlignment="1">
      <alignment horizontal="center" vertical="center"/>
    </xf>
    <xf numFmtId="10" fontId="14" fillId="4" borderId="17" xfId="0" applyNumberFormat="1" applyFont="1" applyFill="1" applyBorder="1" applyAlignment="1">
      <alignment horizontal="center" vertical="center" wrapText="1"/>
    </xf>
    <xf numFmtId="10" fontId="14" fillId="4" borderId="10" xfId="0" applyNumberFormat="1" applyFont="1" applyFill="1" applyBorder="1" applyAlignment="1">
      <alignment horizontal="center" vertical="center"/>
    </xf>
    <xf numFmtId="0" fontId="14" fillId="4" borderId="17" xfId="0" applyFont="1" applyFill="1" applyBorder="1" applyAlignment="1">
      <alignment horizontal="center"/>
    </xf>
    <xf numFmtId="0" fontId="14" fillId="3" borderId="17" xfId="0" applyFont="1" applyFill="1" applyBorder="1" applyAlignment="1">
      <alignment horizontal="center" vertical="center" wrapText="1"/>
    </xf>
    <xf numFmtId="4" fontId="14" fillId="0" borderId="17" xfId="0" applyNumberFormat="1" applyFont="1" applyBorder="1" applyAlignment="1">
      <alignment vertical="center"/>
    </xf>
    <xf numFmtId="0" fontId="14" fillId="4" borderId="20" xfId="0" applyFont="1" applyFill="1" applyBorder="1" applyAlignment="1">
      <alignment horizontal="center" vertical="center"/>
    </xf>
    <xf numFmtId="0" fontId="14" fillId="4" borderId="20" xfId="0" applyFont="1" applyFill="1" applyBorder="1" applyAlignment="1">
      <alignment horizontal="left" vertical="center" wrapText="1"/>
    </xf>
    <xf numFmtId="4" fontId="14" fillId="4" borderId="14" xfId="0" applyNumberFormat="1" applyFont="1" applyFill="1" applyBorder="1" applyAlignment="1">
      <alignment vertical="center"/>
    </xf>
    <xf numFmtId="4" fontId="14" fillId="0" borderId="21" xfId="0" applyNumberFormat="1" applyFont="1" applyBorder="1" applyAlignment="1">
      <alignment vertical="center"/>
    </xf>
    <xf numFmtId="4" fontId="14" fillId="3" borderId="21" xfId="0" applyNumberFormat="1" applyFont="1" applyFill="1" applyBorder="1" applyAlignment="1">
      <alignment vertical="center"/>
    </xf>
    <xf numFmtId="3" fontId="14" fillId="4" borderId="20" xfId="0" applyNumberFormat="1" applyFont="1" applyFill="1" applyBorder="1" applyAlignment="1">
      <alignment horizontal="center" vertical="center"/>
    </xf>
    <xf numFmtId="14" fontId="14" fillId="4" borderId="20" xfId="0" applyNumberFormat="1" applyFont="1" applyFill="1" applyBorder="1" applyAlignment="1">
      <alignment horizontal="center" vertical="center"/>
    </xf>
    <xf numFmtId="0" fontId="15" fillId="4" borderId="20" xfId="0" applyFont="1" applyFill="1" applyBorder="1" applyAlignment="1">
      <alignment horizontal="center" vertical="center" wrapText="1"/>
    </xf>
    <xf numFmtId="10" fontId="14" fillId="4" borderId="20" xfId="0" applyNumberFormat="1" applyFont="1" applyFill="1" applyBorder="1" applyAlignment="1">
      <alignment horizontal="center" vertical="center" wrapText="1"/>
    </xf>
    <xf numFmtId="0" fontId="14" fillId="4" borderId="20" xfId="0" applyFont="1" applyFill="1" applyBorder="1"/>
    <xf numFmtId="0" fontId="16" fillId="0" borderId="1" xfId="0" applyFont="1" applyBorder="1"/>
    <xf numFmtId="0" fontId="16" fillId="0" borderId="22" xfId="0" applyFont="1" applyBorder="1"/>
    <xf numFmtId="0" fontId="6" fillId="5" borderId="19" xfId="0" applyFont="1" applyFill="1" applyBorder="1" applyAlignment="1">
      <alignment horizontal="left" vertical="center"/>
    </xf>
    <xf numFmtId="0" fontId="6" fillId="5" borderId="23" xfId="0" applyFont="1" applyFill="1" applyBorder="1" applyAlignment="1">
      <alignment horizontal="left" vertical="center"/>
    </xf>
    <xf numFmtId="0" fontId="14" fillId="4" borderId="17" xfId="0" applyFont="1" applyFill="1" applyBorder="1" applyAlignment="1">
      <alignment horizontal="center" vertical="center" wrapText="1"/>
    </xf>
    <xf numFmtId="3" fontId="14" fillId="4" borderId="17" xfId="0" applyNumberFormat="1" applyFont="1" applyFill="1" applyBorder="1" applyAlignment="1">
      <alignment horizontal="center" vertical="center"/>
    </xf>
    <xf numFmtId="0" fontId="5" fillId="5" borderId="18" xfId="0" applyFont="1" applyFill="1" applyBorder="1" applyAlignment="1">
      <alignment horizontal="left" vertical="center"/>
    </xf>
    <xf numFmtId="166" fontId="14" fillId="0" borderId="1" xfId="0" applyNumberFormat="1" applyFont="1" applyBorder="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6" fillId="5" borderId="18" xfId="0" applyFont="1" applyFill="1" applyBorder="1" applyAlignment="1">
      <alignment horizontal="left" vertical="center"/>
    </xf>
    <xf numFmtId="0" fontId="14" fillId="4" borderId="10" xfId="0" applyFont="1" applyFill="1" applyBorder="1" applyAlignment="1">
      <alignment horizontal="center" vertical="center"/>
    </xf>
    <xf numFmtId="0" fontId="14" fillId="4" borderId="10" xfId="0" applyFont="1" applyFill="1" applyBorder="1" applyAlignment="1">
      <alignment horizontal="left" vertical="center" wrapText="1"/>
    </xf>
    <xf numFmtId="0" fontId="14" fillId="4" borderId="10" xfId="0" applyFont="1" applyFill="1" applyBorder="1" applyAlignment="1">
      <alignment horizontal="left" vertical="center"/>
    </xf>
    <xf numFmtId="4" fontId="14" fillId="4" borderId="10" xfId="0" applyNumberFormat="1" applyFont="1" applyFill="1" applyBorder="1" applyAlignment="1">
      <alignment vertical="center"/>
    </xf>
    <xf numFmtId="4" fontId="14" fillId="3" borderId="10" xfId="0" applyNumberFormat="1" applyFont="1" applyFill="1" applyBorder="1" applyAlignment="1">
      <alignment vertical="center"/>
    </xf>
    <xf numFmtId="0" fontId="14" fillId="4" borderId="10" xfId="0" applyFont="1" applyFill="1" applyBorder="1" applyAlignment="1">
      <alignment horizontal="center" vertical="center" wrapText="1"/>
    </xf>
    <xf numFmtId="3" fontId="14" fillId="4" borderId="10" xfId="0" applyNumberFormat="1" applyFont="1" applyFill="1" applyBorder="1" applyAlignment="1">
      <alignment horizontal="center" vertical="center"/>
    </xf>
    <xf numFmtId="17" fontId="14" fillId="4" borderId="10" xfId="0" applyNumberFormat="1" applyFont="1" applyFill="1" applyBorder="1" applyAlignment="1">
      <alignment horizontal="center" vertical="center"/>
    </xf>
    <xf numFmtId="0" fontId="15" fillId="4" borderId="10" xfId="0" applyFont="1" applyFill="1" applyBorder="1" applyAlignment="1">
      <alignment horizontal="center" vertical="center"/>
    </xf>
    <xf numFmtId="10" fontId="14" fillId="4" borderId="10" xfId="0" applyNumberFormat="1" applyFont="1" applyFill="1" applyBorder="1" applyAlignment="1">
      <alignment horizontal="right" vertical="center"/>
    </xf>
    <xf numFmtId="0" fontId="14" fillId="4" borderId="17" xfId="0" applyFont="1" applyFill="1" applyBorder="1" applyAlignment="1">
      <alignment horizontal="left" vertical="center"/>
    </xf>
    <xf numFmtId="4" fontId="14" fillId="3" borderId="17" xfId="0" applyNumberFormat="1" applyFont="1" applyFill="1" applyBorder="1" applyAlignment="1">
      <alignment vertical="center"/>
    </xf>
    <xf numFmtId="10" fontId="14" fillId="4" borderId="17" xfId="0" applyNumberFormat="1" applyFont="1" applyFill="1" applyBorder="1" applyAlignment="1">
      <alignment horizontal="right" vertical="center"/>
    </xf>
    <xf numFmtId="4" fontId="14" fillId="4" borderId="20" xfId="0" applyNumberFormat="1" applyFont="1" applyFill="1" applyBorder="1" applyAlignment="1">
      <alignment vertical="center"/>
    </xf>
    <xf numFmtId="166" fontId="14" fillId="0" borderId="20" xfId="0" applyNumberFormat="1" applyFont="1" applyBorder="1" applyAlignment="1">
      <alignment horizontal="center" vertical="center"/>
    </xf>
    <xf numFmtId="4" fontId="14" fillId="3" borderId="20" xfId="0" applyNumberFormat="1" applyFont="1" applyFill="1" applyBorder="1" applyAlignment="1">
      <alignment vertical="center"/>
    </xf>
    <xf numFmtId="0" fontId="14" fillId="4" borderId="20" xfId="0" applyFont="1" applyFill="1" applyBorder="1" applyAlignment="1">
      <alignment horizontal="center" vertical="center" wrapText="1"/>
    </xf>
    <xf numFmtId="17" fontId="14" fillId="4" borderId="20" xfId="0" applyNumberFormat="1" applyFont="1" applyFill="1" applyBorder="1" applyAlignment="1">
      <alignment horizontal="center" vertical="center"/>
    </xf>
    <xf numFmtId="0" fontId="15" fillId="4" borderId="4" xfId="0" applyFont="1" applyFill="1" applyBorder="1" applyAlignment="1">
      <alignment horizontal="center" vertical="center"/>
    </xf>
    <xf numFmtId="10" fontId="14" fillId="4" borderId="20" xfId="0" applyNumberFormat="1" applyFont="1" applyFill="1" applyBorder="1" applyAlignment="1">
      <alignment horizontal="right" vertical="center"/>
    </xf>
    <xf numFmtId="0" fontId="18" fillId="0" borderId="1" xfId="0" applyFont="1" applyBorder="1"/>
    <xf numFmtId="0" fontId="16" fillId="0" borderId="1" xfId="0" applyFont="1" applyBorder="1" applyAlignment="1"/>
    <xf numFmtId="0" fontId="4" fillId="2" borderId="0" xfId="0" applyFont="1" applyFill="1" applyAlignment="1">
      <alignment horizontal="center" vertical="center" wrapText="1"/>
    </xf>
    <xf numFmtId="0" fontId="6" fillId="5" borderId="3" xfId="0" applyFont="1" applyFill="1" applyBorder="1" applyAlignment="1">
      <alignment horizontal="left" vertical="center"/>
    </xf>
    <xf numFmtId="0" fontId="6" fillId="5" borderId="16" xfId="0" applyFont="1" applyFill="1" applyBorder="1" applyAlignment="1">
      <alignment horizontal="center" vertical="center" wrapText="1"/>
    </xf>
    <xf numFmtId="0" fontId="6" fillId="5" borderId="0" xfId="0" applyFont="1" applyFill="1" applyAlignment="1">
      <alignment horizontal="left" vertical="center"/>
    </xf>
    <xf numFmtId="0" fontId="14" fillId="4" borderId="10" xfId="0" applyFont="1" applyFill="1" applyBorder="1" applyAlignment="1">
      <alignment vertical="center"/>
    </xf>
    <xf numFmtId="4" fontId="14" fillId="0" borderId="10" xfId="0" applyNumberFormat="1" applyFont="1" applyBorder="1" applyAlignment="1">
      <alignment vertical="center"/>
    </xf>
    <xf numFmtId="4" fontId="14" fillId="3" borderId="10" xfId="0" applyNumberFormat="1" applyFont="1" applyFill="1" applyBorder="1" applyAlignment="1">
      <alignment horizontal="center"/>
    </xf>
    <xf numFmtId="17" fontId="14" fillId="3" borderId="10" xfId="0" applyNumberFormat="1"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4" borderId="24" xfId="0" applyFont="1" applyFill="1" applyBorder="1" applyAlignment="1">
      <alignment horizontal="right" vertical="center"/>
    </xf>
    <xf numFmtId="17" fontId="14" fillId="3" borderId="17" xfId="0" applyNumberFormat="1" applyFont="1" applyFill="1" applyBorder="1" applyAlignment="1">
      <alignment horizontal="center" vertical="center"/>
    </xf>
    <xf numFmtId="0" fontId="15" fillId="4" borderId="12" xfId="0" applyFont="1" applyFill="1" applyBorder="1" applyAlignment="1">
      <alignment horizontal="right" vertical="center"/>
    </xf>
    <xf numFmtId="0" fontId="14" fillId="4" borderId="10" xfId="0" applyFont="1" applyFill="1" applyBorder="1" applyAlignment="1">
      <alignment horizontal="left" vertical="center" wrapText="1"/>
    </xf>
    <xf numFmtId="14" fontId="14" fillId="3" borderId="17" xfId="0" applyNumberFormat="1" applyFont="1" applyFill="1" applyBorder="1" applyAlignment="1">
      <alignment horizontal="center" vertical="center"/>
    </xf>
    <xf numFmtId="167" fontId="14" fillId="3" borderId="17" xfId="0" applyNumberFormat="1" applyFont="1" applyFill="1" applyBorder="1" applyAlignment="1">
      <alignment horizontal="center" vertical="center"/>
    </xf>
    <xf numFmtId="0" fontId="14" fillId="4" borderId="2" xfId="0" applyFont="1" applyFill="1" applyBorder="1" applyAlignment="1">
      <alignment vertical="center"/>
    </xf>
    <xf numFmtId="0" fontId="6" fillId="5" borderId="25" xfId="0" applyFont="1" applyFill="1" applyBorder="1" applyAlignment="1">
      <alignment horizontal="left" vertical="center"/>
    </xf>
    <xf numFmtId="4" fontId="14" fillId="4" borderId="10" xfId="0" applyNumberFormat="1" applyFont="1" applyFill="1" applyBorder="1" applyAlignment="1">
      <alignment vertical="center"/>
    </xf>
    <xf numFmtId="10" fontId="14" fillId="3" borderId="24" xfId="0" applyNumberFormat="1" applyFont="1" applyFill="1" applyBorder="1" applyAlignment="1">
      <alignment horizontal="right" vertical="center"/>
    </xf>
    <xf numFmtId="0" fontId="14" fillId="4" borderId="26" xfId="0" applyFont="1" applyFill="1" applyBorder="1" applyAlignment="1">
      <alignment vertical="center"/>
    </xf>
    <xf numFmtId="0" fontId="4" fillId="5" borderId="0" xfId="0" applyFont="1" applyFill="1" applyAlignment="1">
      <alignment horizontal="center" vertical="center" wrapText="1"/>
    </xf>
    <xf numFmtId="0" fontId="14" fillId="4" borderId="10" xfId="0" applyFont="1" applyFill="1" applyBorder="1" applyAlignment="1">
      <alignment vertical="center"/>
    </xf>
    <xf numFmtId="166" fontId="14" fillId="4" borderId="10" xfId="0" applyNumberFormat="1" applyFont="1" applyFill="1" applyBorder="1" applyAlignment="1">
      <alignment vertical="center"/>
    </xf>
    <xf numFmtId="166" fontId="14" fillId="3" borderId="10" xfId="0" applyNumberFormat="1" applyFont="1" applyFill="1" applyBorder="1" applyAlignment="1">
      <alignment vertical="center"/>
    </xf>
    <xf numFmtId="0" fontId="19" fillId="4" borderId="10" xfId="0" applyFont="1" applyFill="1" applyBorder="1" applyAlignment="1">
      <alignment horizontal="center" vertical="center"/>
    </xf>
    <xf numFmtId="0" fontId="14" fillId="4" borderId="17" xfId="0" applyFont="1" applyFill="1" applyBorder="1" applyAlignment="1">
      <alignment vertical="center"/>
    </xf>
    <xf numFmtId="166" fontId="14" fillId="4" borderId="17" xfId="0" applyNumberFormat="1" applyFont="1" applyFill="1" applyBorder="1" applyAlignment="1">
      <alignment vertical="center"/>
    </xf>
    <xf numFmtId="0" fontId="19" fillId="4" borderId="17" xfId="0" applyFont="1" applyFill="1" applyBorder="1" applyAlignment="1">
      <alignment horizontal="center" vertical="center"/>
    </xf>
    <xf numFmtId="166" fontId="14" fillId="4" borderId="17" xfId="0" applyNumberFormat="1" applyFont="1" applyFill="1" applyBorder="1" applyAlignment="1">
      <alignment horizontal="center" vertical="center"/>
    </xf>
    <xf numFmtId="0" fontId="14" fillId="4" borderId="17" xfId="0" applyFont="1" applyFill="1" applyBorder="1" applyAlignment="1">
      <alignment vertical="center"/>
    </xf>
    <xf numFmtId="166" fontId="14" fillId="4" borderId="10" xfId="0" applyNumberFormat="1" applyFont="1" applyFill="1" applyBorder="1" applyAlignment="1">
      <alignment vertical="center"/>
    </xf>
    <xf numFmtId="10" fontId="14" fillId="4" borderId="17" xfId="0" applyNumberFormat="1" applyFont="1" applyFill="1" applyBorder="1" applyAlignment="1">
      <alignment horizontal="right" vertical="center"/>
    </xf>
    <xf numFmtId="166" fontId="14" fillId="4" borderId="17" xfId="0" applyNumberFormat="1" applyFont="1" applyFill="1" applyBorder="1" applyAlignment="1">
      <alignment vertical="center"/>
    </xf>
    <xf numFmtId="168" fontId="14" fillId="4" borderId="17" xfId="0" applyNumberFormat="1" applyFont="1" applyFill="1" applyBorder="1" applyAlignment="1">
      <alignment horizontal="center" vertical="center"/>
    </xf>
    <xf numFmtId="10" fontId="15" fillId="4" borderId="17" xfId="0" applyNumberFormat="1" applyFont="1" applyFill="1" applyBorder="1" applyAlignment="1">
      <alignment horizontal="right" vertical="center"/>
    </xf>
    <xf numFmtId="0" fontId="19" fillId="4" borderId="17" xfId="0" applyFont="1" applyFill="1" applyBorder="1" applyAlignment="1">
      <alignment horizontal="center" vertical="center"/>
    </xf>
    <xf numFmtId="0" fontId="14" fillId="4" borderId="1" xfId="0" applyFont="1" applyFill="1" applyBorder="1" applyAlignment="1">
      <alignment vertical="center"/>
    </xf>
    <xf numFmtId="0" fontId="14" fillId="4" borderId="22" xfId="0" applyFont="1" applyFill="1" applyBorder="1" applyAlignment="1">
      <alignment vertical="center"/>
    </xf>
    <xf numFmtId="0" fontId="1" fillId="2"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5" borderId="2" xfId="0" applyFont="1" applyFill="1" applyBorder="1" applyAlignment="1">
      <alignment horizontal="left" vertical="center"/>
    </xf>
    <xf numFmtId="0" fontId="6" fillId="5" borderId="2" xfId="0" applyFont="1" applyFill="1" applyBorder="1" applyAlignment="1">
      <alignment horizontal="left" vertical="center"/>
    </xf>
    <xf numFmtId="0" fontId="6" fillId="3" borderId="1" xfId="0" applyFont="1" applyFill="1" applyBorder="1" applyAlignment="1">
      <alignment horizontal="left" vertical="center"/>
    </xf>
    <xf numFmtId="0" fontId="14" fillId="3" borderId="27" xfId="0" applyFont="1" applyFill="1" applyBorder="1" applyAlignment="1">
      <alignment horizontal="center" vertical="center" wrapText="1"/>
    </xf>
    <xf numFmtId="0" fontId="15" fillId="4" borderId="10" xfId="0" applyFont="1" applyFill="1" applyBorder="1" applyAlignment="1">
      <alignment horizontal="center" vertical="center" wrapText="1"/>
    </xf>
    <xf numFmtId="10" fontId="14" fillId="4" borderId="7" xfId="0" applyNumberFormat="1" applyFont="1" applyFill="1" applyBorder="1" applyAlignment="1">
      <alignment horizontal="right" vertical="center"/>
    </xf>
    <xf numFmtId="10" fontId="14" fillId="3" borderId="1" xfId="0" applyNumberFormat="1" applyFont="1" applyFill="1" applyBorder="1" applyAlignment="1">
      <alignment horizontal="right" vertical="center"/>
    </xf>
    <xf numFmtId="0" fontId="14" fillId="4" borderId="27" xfId="0" applyFont="1" applyFill="1" applyBorder="1" applyAlignment="1">
      <alignment horizontal="center" vertical="center"/>
    </xf>
    <xf numFmtId="0" fontId="14" fillId="4" borderId="27" xfId="0" applyFont="1" applyFill="1" applyBorder="1" applyAlignment="1">
      <alignment vertical="center"/>
    </xf>
    <xf numFmtId="0" fontId="14" fillId="4" borderId="27" xfId="0" applyFont="1" applyFill="1" applyBorder="1" applyAlignment="1">
      <alignment vertical="center"/>
    </xf>
    <xf numFmtId="4" fontId="14" fillId="4" borderId="27" xfId="0" applyNumberFormat="1" applyFont="1" applyFill="1" applyBorder="1" applyAlignment="1">
      <alignment vertical="center"/>
    </xf>
    <xf numFmtId="3" fontId="14" fillId="4" borderId="27" xfId="0" applyNumberFormat="1" applyFont="1" applyFill="1" applyBorder="1" applyAlignment="1">
      <alignment horizontal="center" vertical="center"/>
    </xf>
    <xf numFmtId="0" fontId="15" fillId="4" borderId="27" xfId="0" applyFont="1" applyFill="1" applyBorder="1" applyAlignment="1">
      <alignment horizontal="center" vertical="center" wrapText="1"/>
    </xf>
    <xf numFmtId="10" fontId="14" fillId="4" borderId="28" xfId="0" applyNumberFormat="1" applyFont="1" applyFill="1" applyBorder="1" applyAlignment="1">
      <alignment horizontal="right" vertical="center"/>
    </xf>
    <xf numFmtId="17" fontId="14" fillId="4"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27" xfId="0" applyFont="1" applyFill="1" applyBorder="1" applyAlignment="1">
      <alignment vertical="center"/>
    </xf>
    <xf numFmtId="0" fontId="14" fillId="3" borderId="27" xfId="0" applyFont="1" applyFill="1" applyBorder="1" applyAlignment="1">
      <alignment vertical="center"/>
    </xf>
    <xf numFmtId="0" fontId="14" fillId="3" borderId="27" xfId="0" applyFont="1" applyFill="1" applyBorder="1" applyAlignment="1">
      <alignment horizontal="center" vertical="center"/>
    </xf>
    <xf numFmtId="4" fontId="14" fillId="3" borderId="27" xfId="0" applyNumberFormat="1" applyFont="1" applyFill="1" applyBorder="1" applyAlignment="1">
      <alignment vertical="center"/>
    </xf>
    <xf numFmtId="3" fontId="14" fillId="3" borderId="27" xfId="0" applyNumberFormat="1" applyFont="1" applyFill="1" applyBorder="1" applyAlignment="1">
      <alignment horizontal="center" vertical="center"/>
    </xf>
    <xf numFmtId="0" fontId="15" fillId="3" borderId="27" xfId="0" applyFont="1" applyFill="1" applyBorder="1" applyAlignment="1">
      <alignment horizontal="center" vertical="center" wrapText="1"/>
    </xf>
    <xf numFmtId="10" fontId="14" fillId="3" borderId="28" xfId="0" applyNumberFormat="1" applyFont="1" applyFill="1" applyBorder="1" applyAlignment="1">
      <alignment horizontal="right" vertical="center"/>
    </xf>
    <xf numFmtId="17" fontId="14" fillId="3" borderId="27" xfId="0" applyNumberFormat="1" applyFont="1" applyFill="1" applyBorder="1" applyAlignment="1">
      <alignment horizontal="center" vertical="center"/>
    </xf>
    <xf numFmtId="0" fontId="14" fillId="4" borderId="27" xfId="0" applyFont="1" applyFill="1" applyBorder="1" applyAlignment="1">
      <alignment horizontal="center" vertical="center"/>
    </xf>
    <xf numFmtId="0" fontId="14" fillId="4" borderId="27" xfId="0" quotePrefix="1" applyFont="1" applyFill="1" applyBorder="1" applyAlignment="1">
      <alignment horizontal="center" vertical="center"/>
    </xf>
    <xf numFmtId="10" fontId="14" fillId="3" borderId="28" xfId="0" applyNumberFormat="1" applyFont="1" applyFill="1" applyBorder="1" applyAlignment="1">
      <alignment horizontal="right" vertical="center"/>
    </xf>
    <xf numFmtId="10" fontId="14" fillId="3" borderId="27" xfId="0" applyNumberFormat="1" applyFont="1" applyFill="1" applyBorder="1" applyAlignment="1">
      <alignment horizontal="center" vertical="center" wrapText="1"/>
    </xf>
    <xf numFmtId="9" fontId="14" fillId="3" borderId="1" xfId="0" applyNumberFormat="1" applyFont="1" applyFill="1" applyBorder="1" applyAlignment="1">
      <alignment horizontal="right" vertical="center"/>
    </xf>
    <xf numFmtId="10" fontId="14" fillId="3" borderId="27" xfId="0" applyNumberFormat="1" applyFont="1" applyFill="1" applyBorder="1" applyAlignment="1">
      <alignment horizontal="center" vertical="center" wrapText="1"/>
    </xf>
    <xf numFmtId="0" fontId="14" fillId="3" borderId="10" xfId="0" applyFont="1" applyFill="1" applyBorder="1" applyAlignment="1">
      <alignment horizontal="left" vertical="center"/>
    </xf>
    <xf numFmtId="10" fontId="14" fillId="3" borderId="10" xfId="0" applyNumberFormat="1" applyFont="1" applyFill="1" applyBorder="1" applyAlignment="1">
      <alignment horizontal="center" vertical="center"/>
    </xf>
    <xf numFmtId="0" fontId="14" fillId="4" borderId="27" xfId="0" applyFont="1" applyFill="1" applyBorder="1" applyAlignment="1">
      <alignment horizontal="left" vertical="center" wrapText="1"/>
    </xf>
    <xf numFmtId="0" fontId="14" fillId="3" borderId="27" xfId="0" applyFont="1" applyFill="1" applyBorder="1" applyAlignment="1">
      <alignment horizontal="left" vertical="center"/>
    </xf>
    <xf numFmtId="10" fontId="14" fillId="3" borderId="27" xfId="0" applyNumberFormat="1" applyFont="1" applyFill="1" applyBorder="1" applyAlignment="1">
      <alignment horizontal="center" vertical="center"/>
    </xf>
    <xf numFmtId="0" fontId="5" fillId="5" borderId="29" xfId="0" applyFont="1" applyFill="1" applyBorder="1" applyAlignment="1">
      <alignment horizontal="left" vertical="center"/>
    </xf>
    <xf numFmtId="0" fontId="5" fillId="5" borderId="19" xfId="0" applyFont="1" applyFill="1" applyBorder="1" applyAlignment="1">
      <alignment horizontal="left" vertical="center" wrapText="1"/>
    </xf>
    <xf numFmtId="0" fontId="5" fillId="5" borderId="18" xfId="0" applyFont="1" applyFill="1" applyBorder="1" applyAlignment="1">
      <alignment horizontal="left" vertical="center"/>
    </xf>
    <xf numFmtId="0" fontId="5" fillId="5" borderId="19" xfId="0" applyFont="1" applyFill="1" applyBorder="1" applyAlignment="1">
      <alignment horizontal="right" vertical="center" wrapText="1"/>
    </xf>
    <xf numFmtId="0" fontId="5" fillId="3" borderId="1" xfId="0" applyFont="1" applyFill="1" applyBorder="1" applyAlignment="1">
      <alignment horizontal="right" vertical="center" wrapText="1"/>
    </xf>
    <xf numFmtId="166" fontId="14" fillId="4" borderId="10" xfId="0" applyNumberFormat="1" applyFont="1" applyFill="1" applyBorder="1" applyAlignment="1">
      <alignment horizontal="center" vertical="center"/>
    </xf>
    <xf numFmtId="4" fontId="14" fillId="3" borderId="27" xfId="0" applyNumberFormat="1" applyFont="1" applyFill="1" applyBorder="1" applyAlignment="1">
      <alignment vertical="center"/>
    </xf>
    <xf numFmtId="0" fontId="14" fillId="4" borderId="10" xfId="0" applyFont="1" applyFill="1" applyBorder="1" applyAlignment="1">
      <alignment horizontal="left" vertical="center"/>
    </xf>
    <xf numFmtId="10" fontId="14" fillId="3" borderId="7" xfId="0" applyNumberFormat="1" applyFont="1" applyFill="1" applyBorder="1" applyAlignment="1">
      <alignment horizontal="right" vertical="center"/>
    </xf>
    <xf numFmtId="0" fontId="14" fillId="4" borderId="10" xfId="0" applyFont="1" applyFill="1" applyBorder="1" applyAlignment="1">
      <alignment horizontal="center" vertical="center"/>
    </xf>
    <xf numFmtId="166" fontId="14" fillId="4" borderId="10" xfId="0" applyNumberFormat="1" applyFont="1" applyFill="1" applyBorder="1" applyAlignment="1">
      <alignment horizontal="center" vertical="center"/>
    </xf>
    <xf numFmtId="166" fontId="14" fillId="3" borderId="27" xfId="0" applyNumberFormat="1" applyFont="1" applyFill="1" applyBorder="1" applyAlignment="1">
      <alignment vertical="center"/>
    </xf>
    <xf numFmtId="0" fontId="19" fillId="4" borderId="10" xfId="0" applyFont="1" applyFill="1" applyBorder="1" applyAlignment="1">
      <alignment horizontal="center" vertical="center"/>
    </xf>
    <xf numFmtId="0" fontId="14" fillId="4" borderId="27" xfId="0" applyFont="1" applyFill="1" applyBorder="1" applyAlignment="1">
      <alignment vertical="center" wrapText="1"/>
    </xf>
    <xf numFmtId="166" fontId="14" fillId="4" borderId="27" xfId="0" applyNumberFormat="1" applyFont="1" applyFill="1" applyBorder="1" applyAlignment="1">
      <alignment horizontal="center" vertical="center"/>
    </xf>
    <xf numFmtId="166" fontId="14" fillId="3" borderId="27" xfId="0" applyNumberFormat="1" applyFont="1" applyFill="1" applyBorder="1" applyAlignment="1">
      <alignment horizontal="center" vertical="center"/>
    </xf>
    <xf numFmtId="0" fontId="14" fillId="4" borderId="27" xfId="0" applyFont="1" applyFill="1" applyBorder="1" applyAlignment="1">
      <alignment horizontal="left" vertical="center"/>
    </xf>
    <xf numFmtId="0" fontId="19" fillId="4" borderId="27" xfId="0" applyFont="1" applyFill="1" applyBorder="1" applyAlignment="1">
      <alignment horizontal="center" vertical="center"/>
    </xf>
    <xf numFmtId="166" fontId="14" fillId="4" borderId="27" xfId="0" applyNumberFormat="1" applyFont="1" applyFill="1" applyBorder="1" applyAlignment="1">
      <alignment horizontal="center" vertical="center"/>
    </xf>
    <xf numFmtId="0" fontId="19" fillId="4" borderId="27" xfId="0" applyFont="1" applyFill="1" applyBorder="1" applyAlignment="1">
      <alignment horizontal="center" vertical="center"/>
    </xf>
    <xf numFmtId="0" fontId="5" fillId="6" borderId="3" xfId="0" applyFont="1" applyFill="1" applyBorder="1" applyAlignment="1">
      <alignment horizontal="left" vertical="center"/>
    </xf>
    <xf numFmtId="0" fontId="6" fillId="6" borderId="16" xfId="0" applyFont="1" applyFill="1" applyBorder="1" applyAlignment="1">
      <alignment horizontal="left" vertical="center"/>
    </xf>
    <xf numFmtId="0" fontId="6" fillId="6" borderId="3" xfId="0" applyFont="1" applyFill="1" applyBorder="1" applyAlignment="1">
      <alignment horizontal="left" vertical="center"/>
    </xf>
    <xf numFmtId="0" fontId="6" fillId="6" borderId="16" xfId="0" applyFont="1" applyFill="1" applyBorder="1" applyAlignment="1">
      <alignment horizontal="right" vertical="center"/>
    </xf>
    <xf numFmtId="0" fontId="6" fillId="3" borderId="1" xfId="0" applyFont="1" applyFill="1" applyBorder="1" applyAlignment="1">
      <alignment horizontal="right" vertical="center"/>
    </xf>
    <xf numFmtId="0" fontId="6" fillId="5" borderId="16" xfId="0" applyFont="1" applyFill="1" applyBorder="1" applyAlignment="1">
      <alignment horizontal="right" vertical="center"/>
    </xf>
    <xf numFmtId="4" fontId="14" fillId="3" borderId="10" xfId="0" applyNumberFormat="1" applyFont="1" applyFill="1" applyBorder="1" applyAlignment="1">
      <alignment vertical="center"/>
    </xf>
    <xf numFmtId="3" fontId="14" fillId="4" borderId="10" xfId="0" applyNumberFormat="1" applyFont="1" applyFill="1" applyBorder="1" applyAlignment="1">
      <alignment horizontal="center" vertical="center"/>
    </xf>
    <xf numFmtId="4" fontId="14" fillId="4" borderId="27" xfId="0" applyNumberFormat="1" applyFont="1" applyFill="1" applyBorder="1" applyAlignment="1">
      <alignment vertical="center"/>
    </xf>
    <xf numFmtId="3" fontId="14" fillId="4" borderId="27"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3" borderId="30" xfId="0" applyFont="1" applyFill="1" applyBorder="1" applyAlignment="1">
      <alignment horizontal="left" vertical="center"/>
    </xf>
    <xf numFmtId="0" fontId="6" fillId="5" borderId="29" xfId="0" applyFont="1" applyFill="1" applyBorder="1" applyAlignment="1">
      <alignment horizontal="left" vertical="center"/>
    </xf>
    <xf numFmtId="0" fontId="14" fillId="4" borderId="2" xfId="0" applyFont="1" applyFill="1" applyBorder="1" applyAlignment="1">
      <alignment horizontal="center" vertical="center"/>
    </xf>
    <xf numFmtId="0" fontId="14" fillId="4" borderId="2" xfId="0" applyFont="1" applyFill="1" applyBorder="1" applyAlignment="1">
      <alignment horizontal="left" vertical="center" wrapText="1"/>
    </xf>
    <xf numFmtId="3" fontId="14" fillId="4" borderId="2" xfId="0" applyNumberFormat="1" applyFont="1" applyFill="1" applyBorder="1" applyAlignment="1">
      <alignment vertical="center"/>
    </xf>
    <xf numFmtId="4" fontId="14" fillId="3" borderId="2" xfId="0" applyNumberFormat="1" applyFont="1" applyFill="1" applyBorder="1" applyAlignment="1">
      <alignment vertical="center"/>
    </xf>
    <xf numFmtId="4" fontId="14" fillId="4" borderId="2" xfId="0" applyNumberFormat="1" applyFont="1" applyFill="1" applyBorder="1" applyAlignment="1">
      <alignment vertical="center"/>
    </xf>
    <xf numFmtId="10" fontId="14" fillId="3" borderId="2" xfId="0" applyNumberFormat="1" applyFont="1" applyFill="1" applyBorder="1" applyAlignment="1">
      <alignment horizontal="right" vertical="center"/>
    </xf>
    <xf numFmtId="10" fontId="14" fillId="3" borderId="3" xfId="0" applyNumberFormat="1" applyFont="1" applyFill="1" applyBorder="1" applyAlignment="1">
      <alignment horizontal="right" vertical="center"/>
    </xf>
    <xf numFmtId="0" fontId="14" fillId="4" borderId="4" xfId="0" applyFont="1" applyFill="1" applyBorder="1" applyAlignment="1">
      <alignment vertical="center"/>
    </xf>
    <xf numFmtId="0" fontId="14" fillId="4" borderId="5" xfId="0" applyFont="1" applyFill="1" applyBorder="1" applyAlignment="1">
      <alignment vertical="center"/>
    </xf>
    <xf numFmtId="0" fontId="14" fillId="3" borderId="1" xfId="0" applyFont="1" applyFill="1" applyBorder="1" applyAlignment="1">
      <alignment vertical="center"/>
    </xf>
    <xf numFmtId="0" fontId="16" fillId="3" borderId="1" xfId="0" applyFont="1" applyFill="1" applyBorder="1"/>
    <xf numFmtId="0" fontId="12" fillId="2" borderId="5" xfId="0" applyFont="1" applyFill="1" applyBorder="1" applyAlignment="1">
      <alignment horizontal="left" vertical="center" wrapText="1"/>
    </xf>
    <xf numFmtId="0" fontId="8" fillId="0" borderId="6" xfId="0" applyFont="1" applyBorder="1"/>
    <xf numFmtId="0" fontId="8" fillId="0" borderId="15"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7" xfId="0" applyFont="1" applyBorder="1" applyAlignment="1">
      <alignment horizontal="left" vertical="center" wrapText="1"/>
    </xf>
    <xf numFmtId="0" fontId="8" fillId="0" borderId="8" xfId="0" applyFont="1" applyBorder="1"/>
    <xf numFmtId="0" fontId="8" fillId="0" borderId="9" xfId="0" applyFont="1" applyBorder="1"/>
    <xf numFmtId="0" fontId="7" fillId="0" borderId="11" xfId="0" applyFont="1" applyBorder="1" applyAlignment="1">
      <alignment horizontal="left" vertical="center" wrapText="1"/>
    </xf>
    <xf numFmtId="0" fontId="8" fillId="0" borderId="12" xfId="0" applyFont="1" applyBorder="1"/>
    <xf numFmtId="0" fontId="10" fillId="0" borderId="11" xfId="0" applyFont="1" applyBorder="1" applyAlignment="1">
      <alignment horizontal="right" vertical="center" wrapText="1"/>
    </xf>
    <xf numFmtId="0" fontId="10" fillId="0" borderId="11"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31"/>
  <sheetViews>
    <sheetView view="pageBreakPreview" zoomScale="80" zoomScaleNormal="100" zoomScaleSheetLayoutView="80" workbookViewId="0">
      <selection activeCell="E4" sqref="E4"/>
    </sheetView>
  </sheetViews>
  <sheetFormatPr baseColWidth="10" defaultColWidth="12.625" defaultRowHeight="15" customHeight="1" x14ac:dyDescent="0.35"/>
  <cols>
    <col min="1" max="1" width="50.625" bestFit="1" customWidth="1"/>
    <col min="2" max="2" width="13.5" customWidth="1"/>
    <col min="3" max="3" width="25.125" customWidth="1"/>
    <col min="4" max="5" width="21.3125" bestFit="1" customWidth="1"/>
    <col min="6" max="6" width="6.625" customWidth="1"/>
  </cols>
  <sheetData>
    <row r="1" spans="1:6" ht="90.75" customHeight="1" x14ac:dyDescent="0.35">
      <c r="A1" s="1"/>
      <c r="B1" s="1"/>
      <c r="C1" s="242" t="str">
        <f>"Deuda Pública del Estado de Jalisco al "&amp;""&amp;TEXT(A2,"dd mmmm e")</f>
        <v>Deuda Pública del Estado de Jalisco al 31 octubre 2020</v>
      </c>
      <c r="D1" s="243"/>
      <c r="E1" s="243"/>
      <c r="F1" s="2"/>
    </row>
    <row r="2" spans="1:6" ht="13.5" customHeight="1" x14ac:dyDescent="0.35">
      <c r="A2" s="3">
        <v>44135</v>
      </c>
      <c r="B2" s="4"/>
      <c r="C2" s="5"/>
      <c r="D2" s="5"/>
      <c r="E2" s="6"/>
      <c r="F2" s="7"/>
    </row>
    <row r="3" spans="1:6" ht="26.25" x14ac:dyDescent="0.35">
      <c r="A3" s="8"/>
      <c r="B3" s="8"/>
      <c r="C3" s="8"/>
      <c r="D3" s="8" t="s">
        <v>0</v>
      </c>
      <c r="E3" s="9" t="str">
        <f>"Monto Total Amortizable "&amp;""&amp; TEXT(A2,"dd mmmm e")</f>
        <v>Monto Total Amortizable 31 octubre 2020</v>
      </c>
      <c r="F3" s="10"/>
    </row>
    <row r="4" spans="1:6" ht="17.649999999999999" x14ac:dyDescent="0.35">
      <c r="A4" s="11" t="s">
        <v>1</v>
      </c>
      <c r="B4" s="12"/>
      <c r="C4" s="12"/>
      <c r="D4" s="13">
        <f t="shared" ref="D4:E4" si="0">D5+D6+D7+D8+D9+D10</f>
        <v>30117361793.129997</v>
      </c>
      <c r="E4" s="13">
        <f t="shared" si="0"/>
        <v>23141968112.001862</v>
      </c>
      <c r="F4" s="10"/>
    </row>
    <row r="5" spans="1:6" ht="13.5" x14ac:dyDescent="0.35">
      <c r="A5" s="244" t="str">
        <f>'Deuda Directa'!A2</f>
        <v>Financimientos de Largo Plazo del Gobierno del Estado con la Banca Comercial</v>
      </c>
      <c r="B5" s="245"/>
      <c r="C5" s="246"/>
      <c r="D5" s="14">
        <f>'Deuda Directa'!F2</f>
        <v>21497929320.599998</v>
      </c>
      <c r="E5" s="14">
        <f>'Deuda Directa'!I2</f>
        <v>16741370377.369999</v>
      </c>
      <c r="F5" s="15"/>
    </row>
    <row r="6" spans="1:6" ht="13.5" x14ac:dyDescent="0.35">
      <c r="A6" s="247" t="str">
        <f>'Deuda Directa'!A18</f>
        <v>Financimientos de Largo Plazo del Gobierno del Estado con la Banca de Desarrollo</v>
      </c>
      <c r="B6" s="248"/>
      <c r="C6" s="248"/>
      <c r="D6" s="14">
        <f>'Deuda Directa'!F18</f>
        <v>7019432472.5299997</v>
      </c>
      <c r="E6" s="14">
        <f>'Deuda Directa'!I18</f>
        <v>5461203792.5918608</v>
      </c>
      <c r="F6" s="10"/>
    </row>
    <row r="7" spans="1:6" ht="13.5" x14ac:dyDescent="0.35">
      <c r="A7" s="247" t="str">
        <f>'Deuda Directa'!A25</f>
        <v>Financimientos de Corto Plazo del Gobierno del Estado con la Banca Comercial</v>
      </c>
      <c r="B7" s="248"/>
      <c r="C7" s="248"/>
      <c r="D7" s="14">
        <f>'Deuda Directa'!F25</f>
        <v>1600000000</v>
      </c>
      <c r="E7" s="14">
        <f>'Deuda Directa'!I25</f>
        <v>939393942.04000008</v>
      </c>
      <c r="F7" s="15"/>
    </row>
    <row r="8" spans="1:6" ht="13.5" x14ac:dyDescent="0.35">
      <c r="A8" s="247" t="str">
        <f>'Deuda Directa'!A30</f>
        <v>Proyectos de Inversión y Prestación de Servicios</v>
      </c>
      <c r="B8" s="248"/>
      <c r="C8" s="248"/>
      <c r="D8" s="14">
        <f>'Deuda Directa'!F30</f>
        <v>0</v>
      </c>
      <c r="E8" s="14">
        <f>'Deuda Directa'!I30</f>
        <v>0</v>
      </c>
      <c r="F8" s="15"/>
    </row>
    <row r="9" spans="1:6" ht="13.5" x14ac:dyDescent="0.35">
      <c r="A9" s="247" t="str">
        <f>'Deuda Directa'!A33</f>
        <v>Obra Pública Financiada</v>
      </c>
      <c r="B9" s="248"/>
      <c r="C9" s="248"/>
      <c r="D9" s="14">
        <f>'Deuda Directa'!F33</f>
        <v>0</v>
      </c>
      <c r="E9" s="14">
        <f>'Deuda Directa'!I33</f>
        <v>0</v>
      </c>
      <c r="F9" s="15"/>
    </row>
    <row r="10" spans="1:6" ht="13.5" x14ac:dyDescent="0.35">
      <c r="A10" s="247" t="str">
        <f>'Deuda Directa'!A36</f>
        <v>Adquisiciones contraídas a largo plazo</v>
      </c>
      <c r="B10" s="248"/>
      <c r="C10" s="248"/>
      <c r="D10" s="14">
        <f>'Deuda Directa'!F36</f>
        <v>0</v>
      </c>
      <c r="E10" s="14">
        <f>'Deuda Directa'!I36</f>
        <v>0</v>
      </c>
    </row>
    <row r="11" spans="1:6" ht="13.5" x14ac:dyDescent="0.35">
      <c r="A11" s="247" t="str">
        <f>'Deuda Directa'!A39</f>
        <v>Otros compromisos u obligaciones a largo plazo</v>
      </c>
      <c r="B11" s="248"/>
      <c r="C11" s="248"/>
      <c r="D11" s="16">
        <f t="shared" ref="D11:E11" si="1">D12</f>
        <v>2467841462</v>
      </c>
      <c r="E11" s="16">
        <f t="shared" si="1"/>
        <v>0</v>
      </c>
      <c r="F11" s="17"/>
    </row>
    <row r="12" spans="1:6" ht="13.5" x14ac:dyDescent="0.35">
      <c r="A12" s="249" t="str">
        <f>'Deuda Directa'!A40</f>
        <v>Bonos Cupón Cero</v>
      </c>
      <c r="B12" s="248"/>
      <c r="C12" s="248"/>
      <c r="D12" s="18">
        <f>'Deuda Directa'!F40</f>
        <v>2467841462</v>
      </c>
      <c r="E12" s="18">
        <f>'Deuda Directa'!I40</f>
        <v>0</v>
      </c>
      <c r="F12" s="17"/>
    </row>
    <row r="13" spans="1:6" ht="17.649999999999999" x14ac:dyDescent="0.35">
      <c r="A13" s="19"/>
      <c r="B13" s="20"/>
      <c r="C13" s="20"/>
      <c r="D13" s="21"/>
      <c r="E13" s="21"/>
      <c r="F13" s="17"/>
    </row>
    <row r="14" spans="1:6" ht="17.649999999999999" x14ac:dyDescent="0.35">
      <c r="A14" s="11" t="s">
        <v>2</v>
      </c>
      <c r="B14" s="12"/>
      <c r="C14" s="12"/>
      <c r="D14" s="13">
        <f t="shared" ref="D14:E14" si="2">D15+D16+D17</f>
        <v>5544367291.0100002</v>
      </c>
      <c r="E14" s="13">
        <f t="shared" si="2"/>
        <v>4397242302.6429491</v>
      </c>
      <c r="F14" s="22"/>
    </row>
    <row r="15" spans="1:6" ht="17.649999999999999" x14ac:dyDescent="0.35">
      <c r="A15" s="23" t="str">
        <f>'Deuda Contingente'!A2</f>
        <v>Avales a OPD</v>
      </c>
      <c r="B15" s="24"/>
      <c r="C15" s="24"/>
      <c r="D15" s="25">
        <f>SUM('Deuda Contingente'!F3:F7)</f>
        <v>3182697613.8999996</v>
      </c>
      <c r="E15" s="25">
        <f>SUM('Deuda Contingente'!I3:I7)</f>
        <v>2576165183.8099999</v>
      </c>
      <c r="F15" s="26"/>
    </row>
    <row r="16" spans="1:6" ht="17.649999999999999" x14ac:dyDescent="0.35">
      <c r="A16" s="27" t="str">
        <f>'Deuda Contingente'!A9</f>
        <v>Avales a Municipios con la Banca Comercial</v>
      </c>
      <c r="B16" s="28"/>
      <c r="C16" s="28"/>
      <c r="D16" s="29">
        <f>SUM('Deuda Contingente'!F10)</f>
        <v>15000000</v>
      </c>
      <c r="E16" s="29">
        <f>SUM('Deuda Contingente'!I10)</f>
        <v>1177430.4099999999</v>
      </c>
      <c r="F16" s="26"/>
    </row>
    <row r="17" spans="1:6" ht="17.649999999999999" x14ac:dyDescent="0.35">
      <c r="A17" s="27" t="str">
        <f>'Deuda Contingente'!A12</f>
        <v>Línea de Crédito Global Municipal (LCGM)</v>
      </c>
      <c r="B17" s="28"/>
      <c r="C17" s="28"/>
      <c r="D17" s="29">
        <f>SUM('Deuda Contingente'!F13:F74)</f>
        <v>2346669677.1100001</v>
      </c>
      <c r="E17" s="29">
        <f>SUM('Deuda Contingente'!I13:I74)</f>
        <v>1819899688.4229493</v>
      </c>
      <c r="F17" s="26"/>
    </row>
    <row r="18" spans="1:6" ht="17.649999999999999" x14ac:dyDescent="0.35">
      <c r="A18" s="30"/>
      <c r="B18" s="30"/>
      <c r="C18" s="30"/>
      <c r="D18" s="30"/>
      <c r="E18" s="30"/>
      <c r="F18" s="31"/>
    </row>
    <row r="19" spans="1:6" ht="17.649999999999999" x14ac:dyDescent="0.35">
      <c r="A19" s="11" t="s">
        <v>3</v>
      </c>
      <c r="B19" s="12"/>
      <c r="C19" s="12"/>
      <c r="D19" s="13">
        <f t="shared" ref="D19:E19" si="3">D20+D21+D22+D25</f>
        <v>7686939858.9008007</v>
      </c>
      <c r="E19" s="13">
        <f t="shared" si="3"/>
        <v>4740470844.1822977</v>
      </c>
      <c r="F19" s="22"/>
    </row>
    <row r="20" spans="1:6" ht="17.649999999999999" x14ac:dyDescent="0.35">
      <c r="A20" s="23" t="str">
        <f>'Deuda OEP'!A2</f>
        <v>Financiamiento de Municipios a Largo Plazo</v>
      </c>
      <c r="B20" s="24"/>
      <c r="C20" s="24"/>
      <c r="D20" s="25">
        <f>SUM('Deuda OEP'!F3:F70)</f>
        <v>6823251592.7200003</v>
      </c>
      <c r="E20" s="25">
        <f>SUM('Deuda OEP'!I3:I70)</f>
        <v>4322155724.481679</v>
      </c>
      <c r="F20" s="26"/>
    </row>
    <row r="21" spans="1:6" ht="17.649999999999999" x14ac:dyDescent="0.35">
      <c r="A21" s="27" t="str">
        <f>'Deuda OEP'!A71</f>
        <v>Financiamiento de Municipios a Corto Plazo</v>
      </c>
      <c r="B21" s="28"/>
      <c r="C21" s="28"/>
      <c r="D21" s="29">
        <f>SUM('Deuda OEP'!F72:F77)</f>
        <v>371200000</v>
      </c>
      <c r="E21" s="29">
        <f>SUM('Deuda OEP'!I72:I77)</f>
        <v>142800115.40000001</v>
      </c>
      <c r="F21" s="26"/>
    </row>
    <row r="22" spans="1:6" ht="13.5" x14ac:dyDescent="0.35">
      <c r="A22" s="247" t="str">
        <f>'Deuda OEP'!A80</f>
        <v>Proyectos de Inversión y Prestación de Servicios de Municipios</v>
      </c>
      <c r="B22" s="248"/>
      <c r="C22" s="248"/>
      <c r="D22" s="32">
        <f t="shared" ref="D22:E22" si="4">D23+D24</f>
        <v>484488266.18080002</v>
      </c>
      <c r="E22" s="32">
        <f t="shared" si="4"/>
        <v>275170177.02061892</v>
      </c>
      <c r="F22" s="26"/>
    </row>
    <row r="23" spans="1:6" x14ac:dyDescent="0.35">
      <c r="A23" s="250" t="str">
        <f>'Deuda OEP'!A81</f>
        <v>Arrendamiento Financiero</v>
      </c>
      <c r="B23" s="248"/>
      <c r="C23" s="248"/>
      <c r="D23" s="33">
        <f>SUM('Deuda OEP'!F82:F89)</f>
        <v>182856532.18080002</v>
      </c>
      <c r="E23" s="33">
        <f>SUM('Deuda OEP'!I82:I89)</f>
        <v>26323996.400618888</v>
      </c>
      <c r="F23" s="26"/>
    </row>
    <row r="24" spans="1:6" x14ac:dyDescent="0.35">
      <c r="A24" s="250" t="str">
        <f>'Deuda OEP'!A90</f>
        <v xml:space="preserve">APP´S - CONCESIONES </v>
      </c>
      <c r="B24" s="248"/>
      <c r="C24" s="248"/>
      <c r="D24" s="33">
        <f>'Deuda OEP'!F91</f>
        <v>301631734</v>
      </c>
      <c r="E24" s="33">
        <f>'Deuda OEP'!I91</f>
        <v>248846180.62</v>
      </c>
      <c r="F24" s="26"/>
    </row>
    <row r="25" spans="1:6" ht="17.649999999999999" x14ac:dyDescent="0.35">
      <c r="A25" s="27" t="str">
        <f>'Deuda OEP'!A92</f>
        <v>Financiamiento de OPDs a Largo Plazo</v>
      </c>
      <c r="B25" s="28"/>
      <c r="C25" s="28"/>
      <c r="D25" s="29">
        <f>SUM('Deuda OEP'!F93)</f>
        <v>8000000</v>
      </c>
      <c r="E25" s="29">
        <f>SUM('Deuda OEP'!I93)</f>
        <v>344827.28</v>
      </c>
      <c r="F25" s="26"/>
    </row>
    <row r="26" spans="1:6" ht="17.649999999999999" x14ac:dyDescent="0.35">
      <c r="A26" s="30"/>
      <c r="B26" s="30"/>
      <c r="C26" s="30"/>
      <c r="D26" s="30"/>
      <c r="E26" s="30"/>
      <c r="F26" s="31"/>
    </row>
    <row r="27" spans="1:6" ht="42.4" customHeight="1" x14ac:dyDescent="0.35">
      <c r="A27" s="239" t="s">
        <v>4</v>
      </c>
      <c r="B27" s="240"/>
      <c r="C27" s="241"/>
      <c r="D27" s="34">
        <f t="shared" ref="D27:E27" si="5">D4+D14+D19</f>
        <v>43348668943.040802</v>
      </c>
      <c r="E27" s="35">
        <f t="shared" si="5"/>
        <v>32279681258.827106</v>
      </c>
      <c r="F27" s="36"/>
    </row>
    <row r="28" spans="1:6" ht="13.5" customHeight="1" x14ac:dyDescent="0.35">
      <c r="A28" s="6"/>
      <c r="B28" s="6"/>
      <c r="C28" s="6"/>
      <c r="D28" s="6"/>
      <c r="E28" s="6"/>
      <c r="F28" s="7"/>
    </row>
    <row r="29" spans="1:6" ht="13.5" customHeight="1" x14ac:dyDescent="0.35">
      <c r="A29" s="6"/>
      <c r="B29" s="6"/>
      <c r="C29" s="6"/>
      <c r="D29" s="6"/>
      <c r="E29" s="6"/>
      <c r="F29" s="7"/>
    </row>
    <row r="30" spans="1:6" ht="13.5" customHeight="1" x14ac:dyDescent="0.35">
      <c r="A30" s="6"/>
      <c r="B30" s="6"/>
      <c r="C30" s="6"/>
      <c r="D30" s="6"/>
      <c r="E30" s="6"/>
      <c r="F30" s="7"/>
    </row>
    <row r="31" spans="1:6" ht="13.5" customHeight="1" x14ac:dyDescent="0.35">
      <c r="A31" s="6"/>
      <c r="B31" s="6"/>
      <c r="C31" s="6"/>
      <c r="D31" s="6"/>
      <c r="E31" s="6"/>
      <c r="F31" s="7"/>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0"/>
  <sheetViews>
    <sheetView zoomScale="70" zoomScaleNormal="70" workbookViewId="0">
      <pane ySplit="1" topLeftCell="A2" activePane="bottomLeft" state="frozen"/>
      <selection pane="bottomLeft" activeCell="G16" sqref="G16"/>
    </sheetView>
  </sheetViews>
  <sheetFormatPr baseColWidth="10" defaultColWidth="12.625" defaultRowHeight="15" customHeight="1" x14ac:dyDescent="0.35"/>
  <cols>
    <col min="2" max="2" width="12.75" customWidth="1"/>
    <col min="3" max="3" width="38" customWidth="1"/>
    <col min="4" max="4" width="51.375" customWidth="1"/>
    <col min="5" max="5" width="12.5" customWidth="1"/>
    <col min="6" max="6" width="15.75" bestFit="1" customWidth="1"/>
    <col min="7" max="8" width="15.4375" bestFit="1" customWidth="1"/>
    <col min="9" max="9" width="22.375" customWidth="1"/>
    <col min="10" max="10" width="15.5" customWidth="1"/>
    <col min="11" max="11" width="24.75" customWidth="1"/>
    <col min="12" max="12" width="10.625" customWidth="1"/>
    <col min="13" max="13" width="11.625" customWidth="1"/>
    <col min="14" max="14" width="12" customWidth="1"/>
    <col min="15" max="15" width="12.875" customWidth="1"/>
    <col min="16" max="16" width="15.875" customWidth="1"/>
    <col min="17" max="18" width="12.625" customWidth="1"/>
  </cols>
  <sheetData>
    <row r="1" spans="1:20" ht="39.4" x14ac:dyDescent="0.35">
      <c r="A1" s="8" t="s">
        <v>5</v>
      </c>
      <c r="B1" s="8" t="s">
        <v>6</v>
      </c>
      <c r="C1" s="8" t="s">
        <v>7</v>
      </c>
      <c r="D1" s="8" t="s">
        <v>8</v>
      </c>
      <c r="E1" s="8" t="s">
        <v>9</v>
      </c>
      <c r="F1" s="37" t="s">
        <v>10</v>
      </c>
      <c r="G1" s="37" t="s">
        <v>11</v>
      </c>
      <c r="H1" s="37" t="s">
        <v>12</v>
      </c>
      <c r="I1" s="9" t="str">
        <f>"Monto Total Amortizable "&amp;""&amp; TEXT(Totales!$A$2,"dd mmmm e")</f>
        <v>Monto Total Amortizable 31 octubre 2020</v>
      </c>
      <c r="J1" s="8" t="s">
        <v>13</v>
      </c>
      <c r="K1" s="8" t="s">
        <v>14</v>
      </c>
      <c r="L1" s="37" t="s">
        <v>15</v>
      </c>
      <c r="M1" s="8" t="s">
        <v>16</v>
      </c>
      <c r="N1" s="8" t="s">
        <v>17</v>
      </c>
      <c r="O1" s="37" t="s">
        <v>18</v>
      </c>
      <c r="P1" s="37" t="s">
        <v>19</v>
      </c>
      <c r="Q1" s="37" t="s">
        <v>20</v>
      </c>
      <c r="R1" s="37" t="s">
        <v>21</v>
      </c>
      <c r="S1" s="37" t="s">
        <v>22</v>
      </c>
      <c r="T1" s="37" t="s">
        <v>23</v>
      </c>
    </row>
    <row r="2" spans="1:20" ht="17.649999999999999" x14ac:dyDescent="0.35">
      <c r="A2" s="38" t="s">
        <v>24</v>
      </c>
      <c r="B2" s="39"/>
      <c r="C2" s="39"/>
      <c r="D2" s="39"/>
      <c r="E2" s="39"/>
      <c r="F2" s="40">
        <f t="shared" ref="F2:I2" si="0">SUM(F3:F16)</f>
        <v>21497929320.599998</v>
      </c>
      <c r="G2" s="40">
        <f t="shared" si="0"/>
        <v>16843862680.43</v>
      </c>
      <c r="H2" s="40">
        <f t="shared" si="0"/>
        <v>4554900000</v>
      </c>
      <c r="I2" s="41">
        <f t="shared" si="0"/>
        <v>16741370377.369999</v>
      </c>
      <c r="J2" s="39"/>
      <c r="K2" s="39"/>
      <c r="L2" s="39"/>
      <c r="M2" s="39"/>
      <c r="N2" s="39"/>
      <c r="O2" s="39"/>
      <c r="P2" s="39"/>
      <c r="Q2" s="39"/>
      <c r="R2" s="39"/>
      <c r="S2" s="39"/>
      <c r="T2" s="39"/>
    </row>
    <row r="3" spans="1:20" ht="38.25" x14ac:dyDescent="0.35">
      <c r="A3" s="42" t="s">
        <v>25</v>
      </c>
      <c r="B3" s="42" t="s">
        <v>26</v>
      </c>
      <c r="C3" s="43" t="s">
        <v>27</v>
      </c>
      <c r="D3" s="44" t="s">
        <v>28</v>
      </c>
      <c r="E3" s="42" t="s">
        <v>29</v>
      </c>
      <c r="F3" s="45">
        <v>5115348231</v>
      </c>
      <c r="G3" s="45">
        <v>5104698810.8000002</v>
      </c>
      <c r="H3" s="46">
        <v>0</v>
      </c>
      <c r="I3" s="47">
        <v>5063820382.7299995</v>
      </c>
      <c r="J3" s="42" t="s">
        <v>30</v>
      </c>
      <c r="K3" s="48" t="s">
        <v>31</v>
      </c>
      <c r="L3" s="49" t="s">
        <v>32</v>
      </c>
      <c r="M3" s="50" t="s">
        <v>33</v>
      </c>
      <c r="N3" s="51">
        <v>50971</v>
      </c>
      <c r="O3" s="52" t="s">
        <v>34</v>
      </c>
      <c r="P3" s="53">
        <v>5.6899999999999999E-2</v>
      </c>
      <c r="Q3" s="53">
        <v>7.2948717948717948E-2</v>
      </c>
      <c r="R3" s="42" t="s">
        <v>35</v>
      </c>
      <c r="S3" s="42"/>
      <c r="T3" s="42" t="s">
        <v>36</v>
      </c>
    </row>
    <row r="4" spans="1:20" ht="38.25" x14ac:dyDescent="0.35">
      <c r="A4" s="42" t="s">
        <v>37</v>
      </c>
      <c r="B4" s="42" t="s">
        <v>38</v>
      </c>
      <c r="C4" s="43" t="s">
        <v>39</v>
      </c>
      <c r="D4" s="44" t="s">
        <v>28</v>
      </c>
      <c r="E4" s="42" t="s">
        <v>40</v>
      </c>
      <c r="F4" s="45">
        <v>3000000000</v>
      </c>
      <c r="G4" s="45">
        <v>2998239300.0999999</v>
      </c>
      <c r="H4" s="46">
        <v>0</v>
      </c>
      <c r="I4" s="47">
        <v>2973986542.4000001</v>
      </c>
      <c r="J4" s="42" t="s">
        <v>30</v>
      </c>
      <c r="K4" s="48" t="s">
        <v>41</v>
      </c>
      <c r="L4" s="49" t="s">
        <v>32</v>
      </c>
      <c r="M4" s="50" t="s">
        <v>33</v>
      </c>
      <c r="N4" s="54">
        <v>50974</v>
      </c>
      <c r="O4" s="52" t="s">
        <v>34</v>
      </c>
      <c r="P4" s="53">
        <v>3.3300000000000003E-2</v>
      </c>
      <c r="Q4" s="53">
        <v>4.2692307692307696E-2</v>
      </c>
      <c r="R4" s="42" t="s">
        <v>35</v>
      </c>
      <c r="S4" s="42"/>
      <c r="T4" s="42" t="s">
        <v>36</v>
      </c>
    </row>
    <row r="5" spans="1:20" ht="38.25" x14ac:dyDescent="0.35">
      <c r="A5" s="42" t="s">
        <v>42</v>
      </c>
      <c r="B5" s="42" t="s">
        <v>43</v>
      </c>
      <c r="C5" s="43" t="s">
        <v>44</v>
      </c>
      <c r="D5" s="44" t="s">
        <v>28</v>
      </c>
      <c r="E5" s="42" t="s">
        <v>29</v>
      </c>
      <c r="F5" s="45">
        <v>2000000000</v>
      </c>
      <c r="G5" s="45">
        <v>2000000000</v>
      </c>
      <c r="H5" s="46">
        <v>0</v>
      </c>
      <c r="I5" s="47">
        <v>1983822000</v>
      </c>
      <c r="J5" s="42" t="s">
        <v>30</v>
      </c>
      <c r="K5" s="48" t="s">
        <v>45</v>
      </c>
      <c r="L5" s="49" t="s">
        <v>32</v>
      </c>
      <c r="M5" s="50" t="s">
        <v>33</v>
      </c>
      <c r="N5" s="51">
        <v>50971</v>
      </c>
      <c r="O5" s="52" t="s">
        <v>34</v>
      </c>
      <c r="P5" s="53">
        <v>2.23E-2</v>
      </c>
      <c r="Q5" s="53">
        <v>2.8589743589743588E-2</v>
      </c>
      <c r="R5" s="42" t="s">
        <v>35</v>
      </c>
      <c r="S5" s="42" t="s">
        <v>46</v>
      </c>
      <c r="T5" s="42"/>
    </row>
    <row r="6" spans="1:20" ht="38.25" x14ac:dyDescent="0.35">
      <c r="A6" s="42" t="s">
        <v>47</v>
      </c>
      <c r="B6" s="42" t="s">
        <v>48</v>
      </c>
      <c r="C6" s="43" t="s">
        <v>44</v>
      </c>
      <c r="D6" s="44" t="s">
        <v>28</v>
      </c>
      <c r="E6" s="42" t="s">
        <v>29</v>
      </c>
      <c r="F6" s="45">
        <v>1000000000</v>
      </c>
      <c r="G6" s="45">
        <v>1000000000</v>
      </c>
      <c r="H6" s="46">
        <v>0</v>
      </c>
      <c r="I6" s="47">
        <v>991911000</v>
      </c>
      <c r="J6" s="42" t="s">
        <v>30</v>
      </c>
      <c r="K6" s="48" t="s">
        <v>49</v>
      </c>
      <c r="L6" s="49" t="s">
        <v>32</v>
      </c>
      <c r="M6" s="50" t="s">
        <v>33</v>
      </c>
      <c r="N6" s="51">
        <v>50971</v>
      </c>
      <c r="O6" s="52" t="s">
        <v>34</v>
      </c>
      <c r="P6" s="53">
        <v>1.12E-2</v>
      </c>
      <c r="Q6" s="55">
        <v>1.43E-2</v>
      </c>
      <c r="R6" s="42" t="s">
        <v>35</v>
      </c>
      <c r="S6" s="42" t="s">
        <v>46</v>
      </c>
      <c r="T6" s="42"/>
    </row>
    <row r="7" spans="1:20" ht="76.5" x14ac:dyDescent="0.35">
      <c r="A7" s="42" t="s">
        <v>50</v>
      </c>
      <c r="B7" s="42" t="s">
        <v>51</v>
      </c>
      <c r="C7" s="43" t="s">
        <v>27</v>
      </c>
      <c r="D7" s="43" t="s">
        <v>52</v>
      </c>
      <c r="E7" s="42" t="s">
        <v>29</v>
      </c>
      <c r="F7" s="45">
        <v>2300000000</v>
      </c>
      <c r="G7" s="56">
        <f>250000000+4000000+100000000+50000000+200000000+542000000+245000000+909000000</f>
        <v>2300000000</v>
      </c>
      <c r="H7" s="57">
        <f>F7-G7</f>
        <v>0</v>
      </c>
      <c r="I7" s="47">
        <v>2293915331</v>
      </c>
      <c r="J7" s="42" t="s">
        <v>30</v>
      </c>
      <c r="K7" s="48" t="s">
        <v>31</v>
      </c>
      <c r="L7" s="50"/>
      <c r="M7" s="50" t="s">
        <v>33</v>
      </c>
      <c r="N7" s="51">
        <v>50971</v>
      </c>
      <c r="O7" s="58" t="s">
        <v>53</v>
      </c>
      <c r="P7" s="53">
        <v>0.18759999999999999</v>
      </c>
      <c r="Q7" s="59"/>
      <c r="R7" s="59"/>
      <c r="S7" s="42" t="s">
        <v>46</v>
      </c>
      <c r="T7" s="42" t="s">
        <v>36</v>
      </c>
    </row>
    <row r="8" spans="1:20" ht="25.5" x14ac:dyDescent="0.35">
      <c r="A8" s="42" t="s">
        <v>54</v>
      </c>
      <c r="B8" s="42" t="s">
        <v>55</v>
      </c>
      <c r="C8" s="43" t="s">
        <v>44</v>
      </c>
      <c r="D8" s="44" t="s">
        <v>28</v>
      </c>
      <c r="E8" s="60" t="s">
        <v>56</v>
      </c>
      <c r="F8" s="45">
        <v>1000000000</v>
      </c>
      <c r="G8" s="61">
        <v>988851332.83000004</v>
      </c>
      <c r="H8" s="57">
        <v>0</v>
      </c>
      <c r="I8" s="47">
        <v>985499126.80999994</v>
      </c>
      <c r="J8" s="42" t="s">
        <v>30</v>
      </c>
      <c r="K8" s="48" t="s">
        <v>57</v>
      </c>
      <c r="L8" s="43"/>
      <c r="M8" s="50" t="s">
        <v>33</v>
      </c>
      <c r="N8" s="62">
        <v>51153</v>
      </c>
      <c r="O8" s="52" t="s">
        <v>34</v>
      </c>
      <c r="P8" s="55">
        <v>1.11E-2</v>
      </c>
      <c r="Q8" s="55">
        <v>1.4200000000000001E-2</v>
      </c>
      <c r="R8" s="42" t="s">
        <v>35</v>
      </c>
      <c r="S8" s="42" t="s">
        <v>46</v>
      </c>
      <c r="T8" s="48"/>
    </row>
    <row r="9" spans="1:20" ht="25.5" x14ac:dyDescent="0.35">
      <c r="A9" s="42" t="s">
        <v>58</v>
      </c>
      <c r="B9" s="42" t="s">
        <v>59</v>
      </c>
      <c r="C9" s="44" t="s">
        <v>60</v>
      </c>
      <c r="D9" s="44" t="s">
        <v>28</v>
      </c>
      <c r="E9" s="60" t="s">
        <v>56</v>
      </c>
      <c r="F9" s="45">
        <v>882581089.60000002</v>
      </c>
      <c r="G9" s="61">
        <v>806973236.70000005</v>
      </c>
      <c r="H9" s="57">
        <v>0</v>
      </c>
      <c r="I9" s="47">
        <v>804237597.42999995</v>
      </c>
      <c r="J9" s="42" t="s">
        <v>30</v>
      </c>
      <c r="K9" s="48" t="s">
        <v>61</v>
      </c>
      <c r="L9" s="43"/>
      <c r="M9" s="50" t="s">
        <v>33</v>
      </c>
      <c r="N9" s="62">
        <v>51153</v>
      </c>
      <c r="O9" s="52" t="s">
        <v>34</v>
      </c>
      <c r="P9" s="55">
        <v>9.7999999999999997E-3</v>
      </c>
      <c r="Q9" s="55">
        <v>1.2500000000000001E-2</v>
      </c>
      <c r="R9" s="47"/>
      <c r="S9" s="42" t="s">
        <v>46</v>
      </c>
      <c r="T9" s="48"/>
    </row>
    <row r="10" spans="1:20" ht="38.25" x14ac:dyDescent="0.35">
      <c r="A10" s="42" t="s">
        <v>62</v>
      </c>
      <c r="B10" s="42" t="s">
        <v>63</v>
      </c>
      <c r="C10" s="44" t="s">
        <v>64</v>
      </c>
      <c r="D10" s="44" t="s">
        <v>65</v>
      </c>
      <c r="E10" s="60" t="s">
        <v>66</v>
      </c>
      <c r="F10" s="45">
        <v>1200000000</v>
      </c>
      <c r="G10" s="61">
        <f>73000000</f>
        <v>73000000</v>
      </c>
      <c r="H10" s="57">
        <f t="shared" ref="H10:H16" si="1">F10-G10</f>
        <v>1127000000</v>
      </c>
      <c r="I10" s="47">
        <v>72916926</v>
      </c>
      <c r="J10" s="42" t="s">
        <v>67</v>
      </c>
      <c r="K10" s="48" t="s">
        <v>68</v>
      </c>
      <c r="L10" s="43"/>
      <c r="M10" s="50" t="s">
        <v>69</v>
      </c>
      <c r="N10" s="62">
        <v>47653</v>
      </c>
      <c r="O10" s="52" t="s">
        <v>34</v>
      </c>
      <c r="P10" s="55">
        <v>1.61E-2</v>
      </c>
      <c r="Q10" s="55">
        <v>2.06E-2</v>
      </c>
      <c r="R10" s="48" t="s">
        <v>70</v>
      </c>
      <c r="S10" s="42"/>
      <c r="T10" s="63" t="s">
        <v>71</v>
      </c>
    </row>
    <row r="11" spans="1:20" ht="38.25" x14ac:dyDescent="0.35">
      <c r="A11" s="42" t="s">
        <v>72</v>
      </c>
      <c r="B11" s="42" t="s">
        <v>73</v>
      </c>
      <c r="C11" s="44" t="s">
        <v>64</v>
      </c>
      <c r="D11" s="44" t="s">
        <v>65</v>
      </c>
      <c r="E11" s="60" t="s">
        <v>66</v>
      </c>
      <c r="F11" s="45">
        <v>300000000</v>
      </c>
      <c r="G11" s="61">
        <f>160000000</f>
        <v>160000000</v>
      </c>
      <c r="H11" s="57">
        <f t="shared" si="1"/>
        <v>140000000</v>
      </c>
      <c r="I11" s="47">
        <v>159882240</v>
      </c>
      <c r="J11" s="42" t="s">
        <v>67</v>
      </c>
      <c r="K11" s="48" t="s">
        <v>74</v>
      </c>
      <c r="L11" s="43"/>
      <c r="M11" s="50" t="s">
        <v>75</v>
      </c>
      <c r="N11" s="62">
        <v>49508</v>
      </c>
      <c r="O11" s="52" t="s">
        <v>34</v>
      </c>
      <c r="P11" s="55">
        <v>3.3999999999999998E-3</v>
      </c>
      <c r="Q11" s="55">
        <v>4.4000000000000003E-3</v>
      </c>
      <c r="R11" s="42" t="s">
        <v>35</v>
      </c>
      <c r="S11" s="42"/>
      <c r="T11" s="42" t="s">
        <v>36</v>
      </c>
    </row>
    <row r="12" spans="1:20" ht="38.25" x14ac:dyDescent="0.35">
      <c r="A12" s="42" t="s">
        <v>76</v>
      </c>
      <c r="B12" s="42" t="s">
        <v>77</v>
      </c>
      <c r="C12" s="44" t="s">
        <v>78</v>
      </c>
      <c r="D12" s="44" t="s">
        <v>65</v>
      </c>
      <c r="E12" s="60" t="s">
        <v>66</v>
      </c>
      <c r="F12" s="45">
        <v>700000000</v>
      </c>
      <c r="G12" s="61">
        <f>67000000+150100000</f>
        <v>217100000</v>
      </c>
      <c r="H12" s="57">
        <f t="shared" si="1"/>
        <v>482900000</v>
      </c>
      <c r="I12" s="47">
        <v>217050688</v>
      </c>
      <c r="J12" s="42" t="s">
        <v>67</v>
      </c>
      <c r="K12" s="48" t="s">
        <v>79</v>
      </c>
      <c r="L12" s="43"/>
      <c r="M12" s="50" t="s">
        <v>75</v>
      </c>
      <c r="N12" s="62">
        <v>49508</v>
      </c>
      <c r="O12" s="52" t="s">
        <v>34</v>
      </c>
      <c r="P12" s="55">
        <v>8.0999999999999996E-3</v>
      </c>
      <c r="Q12" s="55">
        <v>1.04E-2</v>
      </c>
      <c r="R12" s="47"/>
      <c r="S12" s="42" t="s">
        <v>46</v>
      </c>
      <c r="T12" s="48"/>
    </row>
    <row r="13" spans="1:20" ht="38.25" x14ac:dyDescent="0.35">
      <c r="A13" s="42" t="s">
        <v>80</v>
      </c>
      <c r="B13" s="42" t="s">
        <v>81</v>
      </c>
      <c r="C13" s="44" t="s">
        <v>78</v>
      </c>
      <c r="D13" s="44" t="s">
        <v>65</v>
      </c>
      <c r="E13" s="60" t="s">
        <v>66</v>
      </c>
      <c r="F13" s="45">
        <v>1000000000</v>
      </c>
      <c r="G13" s="61">
        <f>124000000+58000000</f>
        <v>182000000</v>
      </c>
      <c r="H13" s="57">
        <f t="shared" si="1"/>
        <v>818000000</v>
      </c>
      <c r="I13" s="47">
        <v>181932172</v>
      </c>
      <c r="J13" s="42" t="s">
        <v>67</v>
      </c>
      <c r="K13" s="48" t="s">
        <v>79</v>
      </c>
      <c r="L13" s="43"/>
      <c r="M13" s="50" t="s">
        <v>82</v>
      </c>
      <c r="N13" s="62">
        <v>51333</v>
      </c>
      <c r="O13" s="52" t="s">
        <v>34</v>
      </c>
      <c r="P13" s="55">
        <v>9.5999999999999992E-3</v>
      </c>
      <c r="Q13" s="55">
        <v>1.23E-2</v>
      </c>
      <c r="R13" s="42"/>
      <c r="S13" s="42" t="s">
        <v>46</v>
      </c>
      <c r="T13" s="48"/>
    </row>
    <row r="14" spans="1:20" ht="38.25" x14ac:dyDescent="0.35">
      <c r="A14" s="42" t="s">
        <v>83</v>
      </c>
      <c r="B14" s="42" t="s">
        <v>84</v>
      </c>
      <c r="C14" s="44" t="s">
        <v>44</v>
      </c>
      <c r="D14" s="44" t="s">
        <v>65</v>
      </c>
      <c r="E14" s="60" t="s">
        <v>66</v>
      </c>
      <c r="F14" s="45">
        <v>1000000000</v>
      </c>
      <c r="G14" s="61">
        <f>262000000</f>
        <v>262000000</v>
      </c>
      <c r="H14" s="57">
        <f t="shared" si="1"/>
        <v>738000000</v>
      </c>
      <c r="I14" s="47">
        <v>261807168</v>
      </c>
      <c r="J14" s="42" t="s">
        <v>67</v>
      </c>
      <c r="K14" s="48" t="s">
        <v>85</v>
      </c>
      <c r="L14" s="43"/>
      <c r="M14" s="50" t="s">
        <v>75</v>
      </c>
      <c r="N14" s="62">
        <v>49508</v>
      </c>
      <c r="O14" s="52" t="s">
        <v>34</v>
      </c>
      <c r="P14" s="55">
        <v>1.15E-2</v>
      </c>
      <c r="Q14" s="55">
        <v>1.47E-2</v>
      </c>
      <c r="R14" s="42" t="s">
        <v>35</v>
      </c>
      <c r="S14" s="42"/>
      <c r="T14" s="42" t="s">
        <v>36</v>
      </c>
    </row>
    <row r="15" spans="1:20" ht="38.25" x14ac:dyDescent="0.35">
      <c r="A15" s="42" t="s">
        <v>86</v>
      </c>
      <c r="B15" s="42" t="s">
        <v>87</v>
      </c>
      <c r="C15" s="44" t="s">
        <v>44</v>
      </c>
      <c r="D15" s="44" t="s">
        <v>65</v>
      </c>
      <c r="E15" s="60" t="s">
        <v>66</v>
      </c>
      <c r="F15" s="45">
        <v>1000000000</v>
      </c>
      <c r="G15" s="61">
        <f>158000000</f>
        <v>158000000</v>
      </c>
      <c r="H15" s="57">
        <f t="shared" si="1"/>
        <v>842000000</v>
      </c>
      <c r="I15" s="47">
        <v>157913574</v>
      </c>
      <c r="J15" s="42" t="s">
        <v>67</v>
      </c>
      <c r="K15" s="48" t="s">
        <v>88</v>
      </c>
      <c r="L15" s="43"/>
      <c r="M15" s="50" t="s">
        <v>82</v>
      </c>
      <c r="N15" s="62">
        <v>51333</v>
      </c>
      <c r="O15" s="52" t="s">
        <v>34</v>
      </c>
      <c r="P15" s="55">
        <v>9.4999999999999998E-3</v>
      </c>
      <c r="Q15" s="55">
        <v>1.2200000000000001E-2</v>
      </c>
      <c r="R15" s="42" t="s">
        <v>35</v>
      </c>
      <c r="S15" s="42"/>
      <c r="T15" s="42" t="s">
        <v>36</v>
      </c>
    </row>
    <row r="16" spans="1:20" ht="38.25" x14ac:dyDescent="0.35">
      <c r="A16" s="42" t="s">
        <v>89</v>
      </c>
      <c r="B16" s="42" t="s">
        <v>90</v>
      </c>
      <c r="C16" s="44" t="s">
        <v>44</v>
      </c>
      <c r="D16" s="44" t="s">
        <v>65</v>
      </c>
      <c r="E16" s="60" t="s">
        <v>66</v>
      </c>
      <c r="F16" s="45">
        <v>1000000000</v>
      </c>
      <c r="G16" s="61">
        <f>593000000</f>
        <v>593000000</v>
      </c>
      <c r="H16" s="57">
        <f t="shared" si="1"/>
        <v>407000000</v>
      </c>
      <c r="I16" s="47">
        <v>592675629</v>
      </c>
      <c r="J16" s="42" t="s">
        <v>67</v>
      </c>
      <c r="K16" s="48" t="s">
        <v>91</v>
      </c>
      <c r="L16" s="43"/>
      <c r="M16" s="50" t="s">
        <v>82</v>
      </c>
      <c r="N16" s="62">
        <v>51333</v>
      </c>
      <c r="O16" s="52" t="s">
        <v>34</v>
      </c>
      <c r="P16" s="55">
        <v>9.4999999999999998E-3</v>
      </c>
      <c r="Q16" s="55">
        <v>1.2200000000000001E-2</v>
      </c>
      <c r="R16" s="42" t="s">
        <v>35</v>
      </c>
      <c r="S16" s="42"/>
      <c r="T16" s="42" t="s">
        <v>36</v>
      </c>
    </row>
    <row r="17" spans="1:20" ht="9.75" customHeight="1" x14ac:dyDescent="0.35">
      <c r="A17" s="64"/>
      <c r="B17" s="65"/>
      <c r="C17" s="65"/>
      <c r="D17" s="65"/>
      <c r="E17" s="65"/>
      <c r="F17" s="65"/>
      <c r="G17" s="65"/>
      <c r="H17" s="65"/>
      <c r="I17" s="65"/>
      <c r="J17" s="65"/>
      <c r="K17" s="65"/>
      <c r="L17" s="65"/>
      <c r="M17" s="65"/>
      <c r="N17" s="65"/>
      <c r="O17" s="65"/>
      <c r="P17" s="65"/>
      <c r="Q17" s="65"/>
      <c r="R17" s="65"/>
      <c r="S17" s="65"/>
      <c r="T17" s="65"/>
    </row>
    <row r="18" spans="1:20" ht="17.649999999999999" x14ac:dyDescent="0.35">
      <c r="A18" s="38" t="s">
        <v>92</v>
      </c>
      <c r="B18" s="39"/>
      <c r="C18" s="39"/>
      <c r="D18" s="39"/>
      <c r="E18" s="39"/>
      <c r="F18" s="66">
        <f t="shared" ref="F18:I18" si="2">SUM(F19:F23)</f>
        <v>7019432472.5299997</v>
      </c>
      <c r="G18" s="41">
        <f t="shared" si="2"/>
        <v>5634044019.75</v>
      </c>
      <c r="H18" s="41">
        <f t="shared" si="2"/>
        <v>1288800000</v>
      </c>
      <c r="I18" s="41">
        <f t="shared" si="2"/>
        <v>5461203792.5918608</v>
      </c>
      <c r="J18" s="39"/>
      <c r="K18" s="39"/>
      <c r="L18" s="39"/>
      <c r="M18" s="39"/>
      <c r="N18" s="39"/>
      <c r="O18" s="39"/>
      <c r="P18" s="39"/>
      <c r="Q18" s="39"/>
      <c r="R18" s="39"/>
      <c r="S18" s="39"/>
      <c r="T18" s="39"/>
    </row>
    <row r="19" spans="1:20" ht="38.25" x14ac:dyDescent="0.35">
      <c r="A19" s="42" t="s">
        <v>93</v>
      </c>
      <c r="B19" s="42" t="s">
        <v>94</v>
      </c>
      <c r="C19" s="43" t="s">
        <v>95</v>
      </c>
      <c r="D19" s="67" t="s">
        <v>96</v>
      </c>
      <c r="E19" s="42" t="s">
        <v>97</v>
      </c>
      <c r="F19" s="68">
        <v>1000000000</v>
      </c>
      <c r="G19" s="68">
        <v>909679139.02999997</v>
      </c>
      <c r="H19" s="46">
        <v>0</v>
      </c>
      <c r="I19" s="47">
        <v>768450414.35000002</v>
      </c>
      <c r="J19" s="42">
        <v>25528</v>
      </c>
      <c r="K19" s="69" t="s">
        <v>98</v>
      </c>
      <c r="L19" s="50"/>
      <c r="M19" s="50">
        <v>240</v>
      </c>
      <c r="N19" s="70" t="s">
        <v>99</v>
      </c>
      <c r="O19" s="52" t="s">
        <v>34</v>
      </c>
      <c r="P19" s="71">
        <v>1.7000000000000001E-2</v>
      </c>
      <c r="Q19" s="72">
        <f t="shared" ref="Q19:Q22" si="3">P19/0.78</f>
        <v>2.1794871794871797E-2</v>
      </c>
      <c r="R19" s="59"/>
      <c r="S19" s="59"/>
      <c r="T19" s="73"/>
    </row>
    <row r="20" spans="1:20" ht="38.25" x14ac:dyDescent="0.35">
      <c r="A20" s="42" t="s">
        <v>100</v>
      </c>
      <c r="B20" s="42" t="s">
        <v>101</v>
      </c>
      <c r="C20" s="43" t="s">
        <v>95</v>
      </c>
      <c r="D20" s="44" t="s">
        <v>28</v>
      </c>
      <c r="E20" s="42" t="s">
        <v>29</v>
      </c>
      <c r="F20" s="68">
        <v>2500000000</v>
      </c>
      <c r="G20" s="68">
        <v>2495817598.8800001</v>
      </c>
      <c r="H20" s="46">
        <v>0</v>
      </c>
      <c r="I20" s="47">
        <v>2475419281.6463499</v>
      </c>
      <c r="J20" s="42" t="s">
        <v>30</v>
      </c>
      <c r="K20" s="74" t="s">
        <v>102</v>
      </c>
      <c r="L20" s="49" t="s">
        <v>32</v>
      </c>
      <c r="M20" s="50" t="s">
        <v>33</v>
      </c>
      <c r="N20" s="51">
        <v>50971</v>
      </c>
      <c r="O20" s="52" t="s">
        <v>34</v>
      </c>
      <c r="P20" s="71">
        <v>2.7900000000000001E-2</v>
      </c>
      <c r="Q20" s="72">
        <f t="shared" si="3"/>
        <v>3.5769230769230768E-2</v>
      </c>
      <c r="R20" s="42" t="s">
        <v>35</v>
      </c>
      <c r="S20" s="42" t="s">
        <v>46</v>
      </c>
      <c r="T20" s="73"/>
    </row>
    <row r="21" spans="1:20" ht="38.25" x14ac:dyDescent="0.35">
      <c r="A21" s="42" t="s">
        <v>103</v>
      </c>
      <c r="B21" s="42" t="s">
        <v>104</v>
      </c>
      <c r="C21" s="43" t="s">
        <v>95</v>
      </c>
      <c r="D21" s="44" t="s">
        <v>28</v>
      </c>
      <c r="E21" s="42" t="s">
        <v>29</v>
      </c>
      <c r="F21" s="68">
        <v>569432472.52999997</v>
      </c>
      <c r="G21" s="68">
        <v>567347281.84000003</v>
      </c>
      <c r="H21" s="46">
        <v>0</v>
      </c>
      <c r="I21" s="47">
        <v>562710352.50552106</v>
      </c>
      <c r="J21" s="42" t="s">
        <v>30</v>
      </c>
      <c r="K21" s="74" t="s">
        <v>105</v>
      </c>
      <c r="L21" s="49" t="s">
        <v>32</v>
      </c>
      <c r="M21" s="50" t="s">
        <v>33</v>
      </c>
      <c r="N21" s="51">
        <v>50971</v>
      </c>
      <c r="O21" s="52" t="s">
        <v>34</v>
      </c>
      <c r="P21" s="71">
        <v>6.4000000000000003E-3</v>
      </c>
      <c r="Q21" s="72">
        <f t="shared" si="3"/>
        <v>8.2051282051282051E-3</v>
      </c>
      <c r="R21" s="42" t="s">
        <v>35</v>
      </c>
      <c r="S21" s="42" t="s">
        <v>46</v>
      </c>
      <c r="T21" s="73"/>
    </row>
    <row r="22" spans="1:20" ht="38.25" x14ac:dyDescent="0.35">
      <c r="A22" s="42" t="s">
        <v>106</v>
      </c>
      <c r="B22" s="42" t="s">
        <v>107</v>
      </c>
      <c r="C22" s="43" t="s">
        <v>95</v>
      </c>
      <c r="D22" s="43" t="s">
        <v>108</v>
      </c>
      <c r="E22" s="42" t="s">
        <v>29</v>
      </c>
      <c r="F22" s="68">
        <v>2250000000</v>
      </c>
      <c r="G22" s="75">
        <f>100000+270000000+450000000+360000000</f>
        <v>1080100000</v>
      </c>
      <c r="H22" s="75">
        <f t="shared" ref="H22:H23" si="4">F22-G22</f>
        <v>1169900000</v>
      </c>
      <c r="I22" s="47">
        <v>1076665827.68999</v>
      </c>
      <c r="J22" s="42" t="s">
        <v>30</v>
      </c>
      <c r="K22" s="69" t="s">
        <v>109</v>
      </c>
      <c r="L22" s="50"/>
      <c r="M22" s="50" t="s">
        <v>33</v>
      </c>
      <c r="N22" s="51">
        <v>50971</v>
      </c>
      <c r="O22" s="52" t="s">
        <v>34</v>
      </c>
      <c r="P22" s="71">
        <v>2.5000000000000001E-2</v>
      </c>
      <c r="Q22" s="72">
        <f t="shared" si="3"/>
        <v>3.2051282051282055E-2</v>
      </c>
      <c r="R22" s="42" t="s">
        <v>35</v>
      </c>
      <c r="S22" s="59"/>
      <c r="T22" s="42" t="s">
        <v>36</v>
      </c>
    </row>
    <row r="23" spans="1:20" ht="38.25" x14ac:dyDescent="0.35">
      <c r="A23" s="76" t="s">
        <v>110</v>
      </c>
      <c r="B23" s="76" t="s">
        <v>111</v>
      </c>
      <c r="C23" s="77" t="s">
        <v>95</v>
      </c>
      <c r="D23" s="77" t="s">
        <v>112</v>
      </c>
      <c r="E23" s="76" t="s">
        <v>29</v>
      </c>
      <c r="F23" s="78">
        <v>700000000</v>
      </c>
      <c r="G23" s="78">
        <f>100000+230000000+200000000+151000000</f>
        <v>581100000</v>
      </c>
      <c r="H23" s="79">
        <f t="shared" si="4"/>
        <v>118900000</v>
      </c>
      <c r="I23" s="80">
        <v>577957916.39999998</v>
      </c>
      <c r="J23" s="76" t="s">
        <v>30</v>
      </c>
      <c r="K23" s="76" t="s">
        <v>113</v>
      </c>
      <c r="L23" s="81"/>
      <c r="M23" s="81" t="s">
        <v>33</v>
      </c>
      <c r="N23" s="82">
        <v>50971</v>
      </c>
      <c r="O23" s="83" t="s">
        <v>53</v>
      </c>
      <c r="P23" s="84">
        <v>5.7200000000000001E-2</v>
      </c>
      <c r="Q23" s="76"/>
      <c r="R23" s="76" t="s">
        <v>35</v>
      </c>
      <c r="S23" s="85"/>
      <c r="T23" s="76" t="s">
        <v>36</v>
      </c>
    </row>
    <row r="24" spans="1:20" ht="14.25" x14ac:dyDescent="0.45">
      <c r="A24" s="86"/>
      <c r="B24" s="86"/>
      <c r="C24" s="86"/>
      <c r="D24" s="86"/>
      <c r="E24" s="86"/>
      <c r="F24" s="86"/>
      <c r="G24" s="87"/>
      <c r="H24" s="86"/>
      <c r="I24" s="86"/>
      <c r="J24" s="86"/>
      <c r="K24" s="86"/>
      <c r="L24" s="86"/>
      <c r="M24" s="86"/>
      <c r="N24" s="86"/>
      <c r="O24" s="86"/>
      <c r="P24" s="86"/>
      <c r="Q24" s="86"/>
      <c r="R24" s="86"/>
      <c r="S24" s="86"/>
      <c r="T24" s="86"/>
    </row>
    <row r="25" spans="1:20" ht="17.649999999999999" x14ac:dyDescent="0.35">
      <c r="A25" s="38" t="s">
        <v>114</v>
      </c>
      <c r="B25" s="88"/>
      <c r="C25" s="88"/>
      <c r="D25" s="88"/>
      <c r="E25" s="88"/>
      <c r="F25" s="41">
        <f t="shared" ref="F25:I25" si="5">SUM(F26:F29)</f>
        <v>1600000000</v>
      </c>
      <c r="G25" s="41">
        <f t="shared" si="5"/>
        <v>1600000000</v>
      </c>
      <c r="H25" s="41">
        <f t="shared" si="5"/>
        <v>0</v>
      </c>
      <c r="I25" s="41">
        <f t="shared" si="5"/>
        <v>939393942.04000008</v>
      </c>
      <c r="J25" s="88"/>
      <c r="K25" s="88"/>
      <c r="L25" s="88"/>
      <c r="M25" s="88"/>
      <c r="N25" s="88"/>
      <c r="O25" s="88"/>
      <c r="P25" s="88"/>
      <c r="Q25" s="88"/>
      <c r="R25" s="89"/>
      <c r="S25" s="89"/>
      <c r="T25" s="89"/>
    </row>
    <row r="26" spans="1:20" ht="51" x14ac:dyDescent="0.35">
      <c r="A26" s="42" t="s">
        <v>115</v>
      </c>
      <c r="B26" s="42" t="s">
        <v>116</v>
      </c>
      <c r="C26" s="44" t="s">
        <v>117</v>
      </c>
      <c r="D26" s="44" t="s">
        <v>118</v>
      </c>
      <c r="E26" s="48" t="s">
        <v>119</v>
      </c>
      <c r="F26" s="68">
        <v>600000000</v>
      </c>
      <c r="G26" s="61">
        <v>600000000</v>
      </c>
      <c r="H26" s="57">
        <f>F26-G26</f>
        <v>0</v>
      </c>
      <c r="I26" s="68">
        <v>272727272.69999999</v>
      </c>
      <c r="J26" s="48" t="s">
        <v>120</v>
      </c>
      <c r="K26" s="90" t="s">
        <v>121</v>
      </c>
      <c r="L26" s="50"/>
      <c r="M26" s="91" t="s">
        <v>122</v>
      </c>
      <c r="N26" s="54">
        <v>44272</v>
      </c>
      <c r="O26" s="52" t="s">
        <v>123</v>
      </c>
      <c r="P26" s="71"/>
      <c r="Q26" s="72"/>
      <c r="R26" s="42"/>
      <c r="S26" s="59"/>
      <c r="T26" s="42"/>
    </row>
    <row r="27" spans="1:20" ht="51" x14ac:dyDescent="0.35">
      <c r="A27" s="48" t="s">
        <v>124</v>
      </c>
      <c r="B27" s="48" t="s">
        <v>125</v>
      </c>
      <c r="C27" s="43" t="s">
        <v>27</v>
      </c>
      <c r="D27" s="44" t="s">
        <v>118</v>
      </c>
      <c r="E27" s="48" t="s">
        <v>126</v>
      </c>
      <c r="F27" s="60">
        <v>800000000</v>
      </c>
      <c r="G27" s="60">
        <v>800000000</v>
      </c>
      <c r="H27" s="57">
        <v>0</v>
      </c>
      <c r="I27" s="68">
        <v>533333336</v>
      </c>
      <c r="J27" s="48" t="s">
        <v>120</v>
      </c>
      <c r="K27" s="90" t="s">
        <v>127</v>
      </c>
      <c r="L27" s="50"/>
      <c r="M27" s="91" t="s">
        <v>122</v>
      </c>
      <c r="N27" s="54">
        <v>44312</v>
      </c>
      <c r="O27" s="52" t="s">
        <v>123</v>
      </c>
      <c r="P27" s="71"/>
      <c r="Q27" s="72"/>
      <c r="R27" s="42"/>
      <c r="S27" s="59"/>
      <c r="T27" s="42"/>
    </row>
    <row r="28" spans="1:20" ht="51" x14ac:dyDescent="0.35">
      <c r="A28" s="48" t="s">
        <v>128</v>
      </c>
      <c r="B28" s="48" t="s">
        <v>129</v>
      </c>
      <c r="C28" s="43" t="s">
        <v>39</v>
      </c>
      <c r="D28" s="44" t="s">
        <v>118</v>
      </c>
      <c r="E28" s="48" t="s">
        <v>126</v>
      </c>
      <c r="F28" s="60">
        <v>200000000</v>
      </c>
      <c r="G28" s="60">
        <v>200000000</v>
      </c>
      <c r="H28" s="57">
        <v>0</v>
      </c>
      <c r="I28" s="68">
        <v>133333333.34</v>
      </c>
      <c r="J28" s="48" t="s">
        <v>120</v>
      </c>
      <c r="K28" s="90" t="s">
        <v>130</v>
      </c>
      <c r="L28" s="50"/>
      <c r="M28" s="91" t="s">
        <v>122</v>
      </c>
      <c r="N28" s="54">
        <v>44312</v>
      </c>
      <c r="O28" s="52" t="s">
        <v>123</v>
      </c>
      <c r="P28" s="71"/>
      <c r="Q28" s="72"/>
      <c r="R28" s="42"/>
      <c r="S28" s="59"/>
      <c r="T28" s="42"/>
    </row>
    <row r="29" spans="1:20" ht="13.5" x14ac:dyDescent="0.35">
      <c r="A29" s="42"/>
      <c r="B29" s="42"/>
      <c r="C29" s="43"/>
      <c r="D29" s="44"/>
      <c r="E29" s="48"/>
      <c r="F29" s="68"/>
      <c r="G29" s="61"/>
      <c r="H29" s="75"/>
      <c r="I29" s="68"/>
      <c r="J29" s="48"/>
      <c r="K29" s="90"/>
      <c r="L29" s="50"/>
      <c r="M29" s="91"/>
      <c r="N29" s="54"/>
      <c r="O29" s="52"/>
      <c r="P29" s="71"/>
      <c r="Q29" s="72"/>
      <c r="R29" s="42"/>
      <c r="S29" s="59"/>
      <c r="T29" s="42"/>
    </row>
    <row r="30" spans="1:20" ht="17.649999999999999" x14ac:dyDescent="0.35">
      <c r="A30" s="92" t="s">
        <v>131</v>
      </c>
      <c r="B30" s="88"/>
      <c r="C30" s="88"/>
      <c r="D30" s="88"/>
      <c r="E30" s="88"/>
      <c r="F30" s="41">
        <f t="shared" ref="F30:I30" si="6">SUM(F31:F32)</f>
        <v>0</v>
      </c>
      <c r="G30" s="41">
        <f t="shared" si="6"/>
        <v>0</v>
      </c>
      <c r="H30" s="41">
        <f t="shared" si="6"/>
        <v>0</v>
      </c>
      <c r="I30" s="41">
        <f t="shared" si="6"/>
        <v>0</v>
      </c>
      <c r="J30" s="88"/>
      <c r="K30" s="88"/>
      <c r="L30" s="88"/>
      <c r="M30" s="88"/>
      <c r="N30" s="88"/>
      <c r="O30" s="88"/>
      <c r="P30" s="88"/>
      <c r="Q30" s="88"/>
      <c r="R30" s="89"/>
      <c r="S30" s="89"/>
      <c r="T30" s="89"/>
    </row>
    <row r="31" spans="1:20" ht="14.25" x14ac:dyDescent="0.45">
      <c r="A31" s="86"/>
      <c r="B31" s="86"/>
      <c r="C31" s="86"/>
      <c r="D31" s="86"/>
      <c r="E31" s="86"/>
      <c r="F31" s="93">
        <v>0</v>
      </c>
      <c r="G31" s="93">
        <v>0</v>
      </c>
      <c r="H31" s="93">
        <v>0</v>
      </c>
      <c r="I31" s="93">
        <v>0</v>
      </c>
      <c r="J31" s="86"/>
      <c r="K31" s="86"/>
      <c r="L31" s="86"/>
      <c r="M31" s="86"/>
      <c r="N31" s="86"/>
      <c r="O31" s="86"/>
      <c r="P31" s="86"/>
      <c r="Q31" s="86"/>
      <c r="R31" s="86"/>
      <c r="S31" s="86"/>
      <c r="T31" s="86"/>
    </row>
    <row r="32" spans="1:20" ht="14.25" x14ac:dyDescent="0.45">
      <c r="A32" s="86"/>
      <c r="B32" s="86"/>
      <c r="C32" s="86"/>
      <c r="D32" s="86"/>
      <c r="E32" s="86"/>
      <c r="F32" s="86"/>
      <c r="G32" s="86"/>
      <c r="H32" s="86"/>
      <c r="I32" s="86"/>
      <c r="J32" s="86"/>
      <c r="K32" s="86"/>
      <c r="L32" s="86"/>
      <c r="M32" s="86"/>
      <c r="N32" s="86"/>
      <c r="O32" s="86"/>
      <c r="P32" s="86"/>
      <c r="Q32" s="86"/>
      <c r="R32" s="86"/>
      <c r="S32" s="86"/>
      <c r="T32" s="86"/>
    </row>
    <row r="33" spans="1:20" ht="17.649999999999999" x14ac:dyDescent="0.35">
      <c r="A33" s="92" t="s">
        <v>132</v>
      </c>
      <c r="B33" s="88"/>
      <c r="C33" s="88"/>
      <c r="D33" s="88"/>
      <c r="E33" s="88"/>
      <c r="F33" s="41">
        <f t="shared" ref="F33:I33" si="7">SUM(F34:F35)</f>
        <v>0</v>
      </c>
      <c r="G33" s="41">
        <f t="shared" si="7"/>
        <v>0</v>
      </c>
      <c r="H33" s="41">
        <f t="shared" si="7"/>
        <v>0</v>
      </c>
      <c r="I33" s="41">
        <f t="shared" si="7"/>
        <v>0</v>
      </c>
      <c r="J33" s="88"/>
      <c r="K33" s="88"/>
      <c r="L33" s="88"/>
      <c r="M33" s="88"/>
      <c r="N33" s="88"/>
      <c r="O33" s="88"/>
      <c r="P33" s="88"/>
      <c r="Q33" s="88"/>
      <c r="R33" s="89"/>
      <c r="S33" s="89"/>
      <c r="T33" s="89"/>
    </row>
    <row r="34" spans="1:20" ht="14.25" x14ac:dyDescent="0.45">
      <c r="A34" s="86"/>
      <c r="B34" s="86"/>
      <c r="C34" s="86"/>
      <c r="D34" s="86"/>
      <c r="E34" s="86"/>
      <c r="F34" s="93">
        <v>0</v>
      </c>
      <c r="G34" s="93">
        <v>0</v>
      </c>
      <c r="H34" s="93">
        <v>0</v>
      </c>
      <c r="I34" s="93">
        <v>0</v>
      </c>
      <c r="J34" s="86"/>
      <c r="K34" s="86"/>
      <c r="L34" s="86"/>
      <c r="M34" s="86"/>
      <c r="N34" s="86"/>
      <c r="O34" s="86"/>
      <c r="P34" s="86"/>
      <c r="Q34" s="86"/>
      <c r="R34" s="86"/>
      <c r="S34" s="86"/>
      <c r="T34" s="86"/>
    </row>
    <row r="35" spans="1:20" ht="14.25" x14ac:dyDescent="0.45">
      <c r="A35" s="86"/>
      <c r="B35" s="86"/>
      <c r="C35" s="86"/>
      <c r="D35" s="86"/>
      <c r="E35" s="86"/>
      <c r="F35" s="86"/>
      <c r="G35" s="86"/>
      <c r="H35" s="86"/>
      <c r="I35" s="86"/>
      <c r="J35" s="86"/>
      <c r="K35" s="86"/>
      <c r="L35" s="86"/>
      <c r="M35" s="86"/>
      <c r="N35" s="86"/>
      <c r="O35" s="86"/>
      <c r="P35" s="86"/>
      <c r="Q35" s="86"/>
      <c r="R35" s="86"/>
      <c r="S35" s="86"/>
      <c r="T35" s="86"/>
    </row>
    <row r="36" spans="1:20" ht="17.649999999999999" x14ac:dyDescent="0.35">
      <c r="A36" s="92" t="s">
        <v>133</v>
      </c>
      <c r="B36" s="88"/>
      <c r="C36" s="88"/>
      <c r="D36" s="88"/>
      <c r="E36" s="88"/>
      <c r="F36" s="41">
        <f t="shared" ref="F36:I36" si="8">SUM(F37:F38)</f>
        <v>0</v>
      </c>
      <c r="G36" s="41">
        <f t="shared" si="8"/>
        <v>0</v>
      </c>
      <c r="H36" s="41">
        <f t="shared" si="8"/>
        <v>0</v>
      </c>
      <c r="I36" s="41">
        <f t="shared" si="8"/>
        <v>0</v>
      </c>
      <c r="J36" s="88"/>
      <c r="K36" s="88"/>
      <c r="L36" s="88"/>
      <c r="M36" s="88"/>
      <c r="N36" s="88"/>
      <c r="O36" s="88"/>
      <c r="P36" s="88"/>
      <c r="Q36" s="88"/>
      <c r="R36" s="89"/>
      <c r="S36" s="89"/>
      <c r="T36" s="89"/>
    </row>
    <row r="37" spans="1:20" ht="14.25" x14ac:dyDescent="0.45">
      <c r="A37" s="86"/>
      <c r="B37" s="86"/>
      <c r="C37" s="86"/>
      <c r="D37" s="86"/>
      <c r="E37" s="86"/>
      <c r="F37" s="93">
        <v>0</v>
      </c>
      <c r="G37" s="93">
        <v>0</v>
      </c>
      <c r="H37" s="93">
        <v>0</v>
      </c>
      <c r="I37" s="93">
        <v>0</v>
      </c>
      <c r="J37" s="86"/>
      <c r="K37" s="86"/>
      <c r="L37" s="86"/>
      <c r="M37" s="86"/>
      <c r="N37" s="86"/>
      <c r="O37" s="86"/>
      <c r="P37" s="86"/>
      <c r="Q37" s="86"/>
      <c r="R37" s="86"/>
      <c r="S37" s="86"/>
      <c r="T37" s="86"/>
    </row>
    <row r="38" spans="1:20" ht="14.25" x14ac:dyDescent="0.45">
      <c r="A38" s="86"/>
      <c r="B38" s="86"/>
      <c r="C38" s="86"/>
      <c r="D38" s="86"/>
      <c r="E38" s="86"/>
      <c r="F38" s="86"/>
      <c r="G38" s="86"/>
      <c r="H38" s="86"/>
      <c r="I38" s="86"/>
      <c r="J38" s="86"/>
      <c r="K38" s="86"/>
      <c r="L38" s="86"/>
      <c r="M38" s="86"/>
      <c r="N38" s="86"/>
      <c r="O38" s="86"/>
      <c r="P38" s="86"/>
      <c r="Q38" s="86"/>
      <c r="R38" s="86"/>
      <c r="S38" s="86"/>
      <c r="T38" s="86"/>
    </row>
    <row r="39" spans="1:20" ht="17.649999999999999" x14ac:dyDescent="0.35">
      <c r="A39" s="94" t="s">
        <v>134</v>
      </c>
      <c r="B39" s="95"/>
      <c r="C39" s="95"/>
      <c r="D39" s="95"/>
      <c r="E39" s="95"/>
      <c r="F39" s="95"/>
      <c r="G39" s="95"/>
      <c r="H39" s="95"/>
      <c r="I39" s="95"/>
      <c r="J39" s="95"/>
      <c r="K39" s="95"/>
      <c r="L39" s="95"/>
      <c r="M39" s="95"/>
      <c r="N39" s="95"/>
      <c r="O39" s="95"/>
      <c r="P39" s="95"/>
      <c r="Q39" s="95"/>
      <c r="R39" s="95"/>
      <c r="S39" s="95"/>
      <c r="T39" s="95"/>
    </row>
    <row r="40" spans="1:20" ht="17.649999999999999" x14ac:dyDescent="0.35">
      <c r="A40" s="96" t="s">
        <v>135</v>
      </c>
      <c r="B40" s="88"/>
      <c r="C40" s="88"/>
      <c r="D40" s="88"/>
      <c r="E40" s="88"/>
      <c r="F40" s="41">
        <f t="shared" ref="F40:H40" si="9">SUM(F41:F47)</f>
        <v>2467841462</v>
      </c>
      <c r="G40" s="41">
        <f t="shared" si="9"/>
        <v>2450651749</v>
      </c>
      <c r="H40" s="41">
        <f t="shared" si="9"/>
        <v>0</v>
      </c>
      <c r="I40" s="41">
        <f>SUM(I41:I47)*0</f>
        <v>0</v>
      </c>
      <c r="J40" s="88"/>
      <c r="K40" s="88"/>
      <c r="L40" s="88"/>
      <c r="M40" s="88"/>
      <c r="N40" s="88"/>
      <c r="O40" s="88"/>
      <c r="P40" s="88"/>
      <c r="Q40" s="88"/>
      <c r="R40" s="89"/>
      <c r="S40" s="89"/>
      <c r="T40" s="89"/>
    </row>
    <row r="41" spans="1:20" ht="76.5" x14ac:dyDescent="0.35">
      <c r="A41" s="97" t="s">
        <v>136</v>
      </c>
      <c r="B41" s="97" t="s">
        <v>137</v>
      </c>
      <c r="C41" s="98" t="s">
        <v>95</v>
      </c>
      <c r="D41" s="99" t="s">
        <v>138</v>
      </c>
      <c r="E41" s="97" t="s">
        <v>139</v>
      </c>
      <c r="F41" s="100">
        <v>1000000000</v>
      </c>
      <c r="G41" s="100">
        <v>995600150</v>
      </c>
      <c r="H41" s="46">
        <v>0</v>
      </c>
      <c r="I41" s="101">
        <v>995600150</v>
      </c>
      <c r="J41" s="97">
        <v>23962</v>
      </c>
      <c r="K41" s="102" t="s">
        <v>140</v>
      </c>
      <c r="L41" s="103"/>
      <c r="M41" s="103">
        <v>240</v>
      </c>
      <c r="N41" s="104" t="s">
        <v>141</v>
      </c>
      <c r="O41" s="105" t="s">
        <v>34</v>
      </c>
      <c r="P41" s="106">
        <v>8.9999999999999993E-3</v>
      </c>
      <c r="Q41" s="72">
        <f t="shared" ref="Q41:Q47" si="10">P41/0.78</f>
        <v>1.1538461538461537E-2</v>
      </c>
      <c r="R41" s="97"/>
      <c r="S41" s="97" t="s">
        <v>46</v>
      </c>
      <c r="T41" s="97"/>
    </row>
    <row r="42" spans="1:20" ht="38.25" x14ac:dyDescent="0.35">
      <c r="A42" s="42" t="s">
        <v>142</v>
      </c>
      <c r="B42" s="42" t="s">
        <v>143</v>
      </c>
      <c r="C42" s="43" t="s">
        <v>95</v>
      </c>
      <c r="D42" s="107" t="s">
        <v>138</v>
      </c>
      <c r="E42" s="42" t="s">
        <v>144</v>
      </c>
      <c r="F42" s="68">
        <v>300000000</v>
      </c>
      <c r="G42" s="100">
        <v>300000000</v>
      </c>
      <c r="H42" s="46">
        <v>0</v>
      </c>
      <c r="I42" s="108">
        <v>300000000</v>
      </c>
      <c r="J42" s="42">
        <v>23962</v>
      </c>
      <c r="K42" s="42" t="s">
        <v>145</v>
      </c>
      <c r="L42" s="50"/>
      <c r="M42" s="50">
        <v>240</v>
      </c>
      <c r="N42" s="70" t="s">
        <v>141</v>
      </c>
      <c r="O42" s="105" t="s">
        <v>34</v>
      </c>
      <c r="P42" s="109">
        <v>3.0000000000000001E-3</v>
      </c>
      <c r="Q42" s="72">
        <f t="shared" si="10"/>
        <v>3.8461538461538459E-3</v>
      </c>
      <c r="R42" s="42"/>
      <c r="S42" s="42" t="s">
        <v>46</v>
      </c>
      <c r="T42" s="42"/>
    </row>
    <row r="43" spans="1:20" ht="178.5" x14ac:dyDescent="0.35">
      <c r="A43" s="42" t="s">
        <v>146</v>
      </c>
      <c r="B43" s="42" t="s">
        <v>147</v>
      </c>
      <c r="C43" s="43" t="s">
        <v>95</v>
      </c>
      <c r="D43" s="107" t="s">
        <v>148</v>
      </c>
      <c r="E43" s="42" t="s">
        <v>149</v>
      </c>
      <c r="F43" s="68">
        <v>299888355</v>
      </c>
      <c r="G43" s="100">
        <v>299888355</v>
      </c>
      <c r="H43" s="46">
        <v>0</v>
      </c>
      <c r="I43" s="108">
        <v>299888355</v>
      </c>
      <c r="J43" s="42" t="s">
        <v>150</v>
      </c>
      <c r="K43" s="69" t="s">
        <v>151</v>
      </c>
      <c r="L43" s="50"/>
      <c r="M43" s="50">
        <v>240</v>
      </c>
      <c r="N43" s="70" t="s">
        <v>152</v>
      </c>
      <c r="O43" s="105" t="s">
        <v>34</v>
      </c>
      <c r="P43" s="109">
        <v>3.3999999999999998E-3</v>
      </c>
      <c r="Q43" s="72">
        <f t="shared" si="10"/>
        <v>4.3589743589743588E-3</v>
      </c>
      <c r="R43" s="42"/>
      <c r="S43" s="42" t="s">
        <v>46</v>
      </c>
      <c r="T43" s="42"/>
    </row>
    <row r="44" spans="1:20" ht="63.75" x14ac:dyDescent="0.35">
      <c r="A44" s="42" t="s">
        <v>153</v>
      </c>
      <c r="B44" s="42" t="s">
        <v>154</v>
      </c>
      <c r="C44" s="43" t="s">
        <v>95</v>
      </c>
      <c r="D44" s="107" t="s">
        <v>155</v>
      </c>
      <c r="E44" s="42" t="s">
        <v>156</v>
      </c>
      <c r="F44" s="68">
        <v>223786059</v>
      </c>
      <c r="G44" s="100">
        <v>211994864</v>
      </c>
      <c r="H44" s="46">
        <v>0</v>
      </c>
      <c r="I44" s="108">
        <v>211994864</v>
      </c>
      <c r="J44" s="42" t="s">
        <v>157</v>
      </c>
      <c r="K44" s="69" t="s">
        <v>158</v>
      </c>
      <c r="L44" s="50"/>
      <c r="M44" s="50">
        <v>240</v>
      </c>
      <c r="N44" s="70" t="s">
        <v>159</v>
      </c>
      <c r="O44" s="105" t="s">
        <v>34</v>
      </c>
      <c r="P44" s="109">
        <v>2E-3</v>
      </c>
      <c r="Q44" s="72">
        <f t="shared" si="10"/>
        <v>2.5641025641025641E-3</v>
      </c>
      <c r="R44" s="42"/>
      <c r="S44" s="42" t="s">
        <v>46</v>
      </c>
      <c r="T44" s="42"/>
    </row>
    <row r="45" spans="1:20" ht="38.25" x14ac:dyDescent="0.35">
      <c r="A45" s="42" t="s">
        <v>160</v>
      </c>
      <c r="B45" s="42" t="s">
        <v>161</v>
      </c>
      <c r="C45" s="43" t="s">
        <v>95</v>
      </c>
      <c r="D45" s="43" t="s">
        <v>162</v>
      </c>
      <c r="E45" s="42" t="s">
        <v>163</v>
      </c>
      <c r="F45" s="68">
        <v>500379494</v>
      </c>
      <c r="G45" s="100">
        <v>500379494</v>
      </c>
      <c r="H45" s="46">
        <v>0</v>
      </c>
      <c r="I45" s="108">
        <v>500379494</v>
      </c>
      <c r="J45" s="42" t="s">
        <v>164</v>
      </c>
      <c r="K45" s="69" t="s">
        <v>165</v>
      </c>
      <c r="L45" s="50"/>
      <c r="M45" s="50">
        <v>240</v>
      </c>
      <c r="N45" s="70" t="s">
        <v>166</v>
      </c>
      <c r="O45" s="105" t="s">
        <v>34</v>
      </c>
      <c r="P45" s="109">
        <v>4.0000000000000001E-3</v>
      </c>
      <c r="Q45" s="72">
        <f t="shared" si="10"/>
        <v>5.1282051282051282E-3</v>
      </c>
      <c r="R45" s="42"/>
      <c r="S45" s="42" t="s">
        <v>46</v>
      </c>
      <c r="T45" s="42"/>
    </row>
    <row r="46" spans="1:20" ht="38.25" x14ac:dyDescent="0.35">
      <c r="A46" s="42" t="s">
        <v>167</v>
      </c>
      <c r="B46" s="42" t="s">
        <v>168</v>
      </c>
      <c r="C46" s="43" t="s">
        <v>95</v>
      </c>
      <c r="D46" s="43" t="s">
        <v>162</v>
      </c>
      <c r="E46" s="42" t="s">
        <v>169</v>
      </c>
      <c r="F46" s="68">
        <v>86788886</v>
      </c>
      <c r="G46" s="100">
        <v>86788886</v>
      </c>
      <c r="H46" s="46">
        <v>0</v>
      </c>
      <c r="I46" s="108">
        <v>86788886</v>
      </c>
      <c r="J46" s="42" t="s">
        <v>164</v>
      </c>
      <c r="K46" s="69" t="s">
        <v>170</v>
      </c>
      <c r="L46" s="50"/>
      <c r="M46" s="50">
        <v>240</v>
      </c>
      <c r="N46" s="70" t="s">
        <v>171</v>
      </c>
      <c r="O46" s="105" t="s">
        <v>34</v>
      </c>
      <c r="P46" s="109">
        <v>1E-3</v>
      </c>
      <c r="Q46" s="72">
        <f t="shared" si="10"/>
        <v>1.2820512820512821E-3</v>
      </c>
      <c r="R46" s="42"/>
      <c r="S46" s="42" t="s">
        <v>46</v>
      </c>
      <c r="T46" s="42"/>
    </row>
    <row r="47" spans="1:20" ht="38.25" x14ac:dyDescent="0.35">
      <c r="A47" s="76" t="s">
        <v>172</v>
      </c>
      <c r="B47" s="76" t="s">
        <v>173</v>
      </c>
      <c r="C47" s="77" t="s">
        <v>95</v>
      </c>
      <c r="D47" s="77" t="s">
        <v>162</v>
      </c>
      <c r="E47" s="76" t="s">
        <v>174</v>
      </c>
      <c r="F47" s="110">
        <v>56998668</v>
      </c>
      <c r="G47" s="110">
        <v>56000000</v>
      </c>
      <c r="H47" s="111">
        <v>0</v>
      </c>
      <c r="I47" s="112">
        <v>56000000</v>
      </c>
      <c r="J47" s="76" t="s">
        <v>164</v>
      </c>
      <c r="K47" s="113" t="s">
        <v>175</v>
      </c>
      <c r="L47" s="81"/>
      <c r="M47" s="81">
        <v>240</v>
      </c>
      <c r="N47" s="114" t="s">
        <v>176</v>
      </c>
      <c r="O47" s="115" t="s">
        <v>34</v>
      </c>
      <c r="P47" s="116">
        <v>1E-3</v>
      </c>
      <c r="Q47" s="84">
        <f t="shared" si="10"/>
        <v>1.2820512820512821E-3</v>
      </c>
      <c r="R47" s="76"/>
      <c r="S47" s="76"/>
      <c r="T47" s="76"/>
    </row>
    <row r="48" spans="1:20" ht="14.25" x14ac:dyDescent="0.45">
      <c r="A48" s="86"/>
      <c r="B48" s="86"/>
      <c r="C48" s="86"/>
      <c r="D48" s="86"/>
      <c r="E48" s="86"/>
      <c r="F48" s="86"/>
      <c r="G48" s="86"/>
      <c r="H48" s="86"/>
      <c r="I48" s="86"/>
      <c r="J48" s="86"/>
      <c r="K48" s="86"/>
      <c r="L48" s="86"/>
      <c r="M48" s="86"/>
      <c r="N48" s="86"/>
      <c r="O48" s="86"/>
      <c r="P48" s="86"/>
      <c r="Q48" s="117"/>
      <c r="R48" s="117"/>
      <c r="S48" s="117"/>
      <c r="T48" s="117"/>
    </row>
    <row r="49" spans="1:20" ht="14.25" x14ac:dyDescent="0.45">
      <c r="A49" s="118" t="s">
        <v>177</v>
      </c>
      <c r="B49" s="86"/>
      <c r="C49" s="86"/>
      <c r="D49" s="86"/>
      <c r="E49" s="86"/>
      <c r="F49" s="86"/>
      <c r="G49" s="86"/>
      <c r="H49" s="86"/>
      <c r="I49" s="86"/>
      <c r="J49" s="86"/>
      <c r="K49" s="86"/>
      <c r="L49" s="86"/>
      <c r="M49" s="86"/>
      <c r="N49" s="86"/>
      <c r="O49" s="86"/>
      <c r="P49" s="86"/>
      <c r="Q49" s="117"/>
      <c r="R49" s="117"/>
      <c r="S49" s="117"/>
      <c r="T49" s="117"/>
    </row>
    <row r="50" spans="1:20" ht="14.25" x14ac:dyDescent="0.45">
      <c r="A50" s="118" t="s">
        <v>178</v>
      </c>
      <c r="B50" s="86"/>
      <c r="C50" s="86"/>
      <c r="D50" s="86"/>
      <c r="E50" s="86"/>
      <c r="F50" s="86"/>
      <c r="G50" s="86"/>
      <c r="H50" s="86"/>
      <c r="I50" s="86"/>
      <c r="J50" s="86"/>
      <c r="K50" s="86"/>
      <c r="L50" s="86"/>
      <c r="M50" s="86"/>
      <c r="N50" s="86"/>
      <c r="O50" s="86"/>
      <c r="P50" s="86"/>
      <c r="Q50" s="117"/>
      <c r="R50" s="117"/>
      <c r="S50" s="117"/>
      <c r="T50" s="117"/>
    </row>
  </sheetData>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zoomScale="80" zoomScaleNormal="80" workbookViewId="0">
      <pane ySplit="1" topLeftCell="A2" activePane="bottomLeft" state="frozen"/>
      <selection pane="bottomLeft" activeCell="E13" sqref="E13"/>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37" t="s">
        <v>5</v>
      </c>
      <c r="B1" s="8" t="s">
        <v>6</v>
      </c>
      <c r="C1" s="9" t="s">
        <v>179</v>
      </c>
      <c r="D1" s="8" t="s">
        <v>7</v>
      </c>
      <c r="E1" s="8" t="s">
        <v>9</v>
      </c>
      <c r="F1" s="37" t="s">
        <v>10</v>
      </c>
      <c r="G1" s="37" t="s">
        <v>11</v>
      </c>
      <c r="H1" s="37" t="s">
        <v>12</v>
      </c>
      <c r="I1" s="9" t="str">
        <f>"Monto Total Amortizable "&amp;""&amp; TEXT(Totales!$A$2,"dd mmmm e")</f>
        <v>Monto Total Amortizable 31 octubre 2020</v>
      </c>
      <c r="J1" s="8" t="s">
        <v>13</v>
      </c>
      <c r="K1" s="8" t="s">
        <v>14</v>
      </c>
      <c r="L1" s="37" t="s">
        <v>15</v>
      </c>
      <c r="M1" s="8" t="s">
        <v>16</v>
      </c>
      <c r="N1" s="37" t="s">
        <v>17</v>
      </c>
      <c r="O1" s="37" t="s">
        <v>18</v>
      </c>
      <c r="P1" s="37" t="s">
        <v>180</v>
      </c>
      <c r="Q1" s="119" t="s">
        <v>181</v>
      </c>
    </row>
    <row r="2" spans="1:17" ht="17.649999999999999" x14ac:dyDescent="0.35">
      <c r="A2" s="38" t="s">
        <v>182</v>
      </c>
      <c r="B2" s="39"/>
      <c r="C2" s="120"/>
      <c r="D2" s="39"/>
      <c r="E2" s="39"/>
      <c r="F2" s="39"/>
      <c r="G2" s="39"/>
      <c r="H2" s="39"/>
      <c r="I2" s="39"/>
      <c r="J2" s="39"/>
      <c r="K2" s="39"/>
      <c r="L2" s="39"/>
      <c r="M2" s="39"/>
      <c r="N2" s="39"/>
      <c r="O2" s="121"/>
      <c r="P2" s="39"/>
      <c r="Q2" s="122"/>
    </row>
    <row r="3" spans="1:17" ht="25.5" x14ac:dyDescent="0.35">
      <c r="A3" s="97" t="s">
        <v>183</v>
      </c>
      <c r="B3" s="97" t="s">
        <v>184</v>
      </c>
      <c r="C3" s="99" t="s">
        <v>185</v>
      </c>
      <c r="D3" s="123" t="s">
        <v>186</v>
      </c>
      <c r="E3" s="97" t="s">
        <v>187</v>
      </c>
      <c r="F3" s="100">
        <v>1074803325.0999999</v>
      </c>
      <c r="G3" s="100">
        <v>1047178823.78</v>
      </c>
      <c r="H3" s="124"/>
      <c r="I3" s="101">
        <v>1009098228.38</v>
      </c>
      <c r="J3" s="97" t="s">
        <v>188</v>
      </c>
      <c r="K3" s="72" t="s">
        <v>189</v>
      </c>
      <c r="L3" s="125" t="s">
        <v>190</v>
      </c>
      <c r="M3" s="103">
        <v>240</v>
      </c>
      <c r="N3" s="126" t="s">
        <v>99</v>
      </c>
      <c r="O3" s="127" t="s">
        <v>123</v>
      </c>
      <c r="P3" s="128"/>
      <c r="Q3" s="129" t="s">
        <v>191</v>
      </c>
    </row>
    <row r="4" spans="1:17" ht="25.5" x14ac:dyDescent="0.35">
      <c r="A4" s="42" t="s">
        <v>192</v>
      </c>
      <c r="B4" s="42" t="s">
        <v>193</v>
      </c>
      <c r="C4" s="59" t="s">
        <v>185</v>
      </c>
      <c r="D4" s="59" t="s">
        <v>194</v>
      </c>
      <c r="E4" s="42" t="s">
        <v>195</v>
      </c>
      <c r="F4" s="68">
        <v>800000000</v>
      </c>
      <c r="G4" s="68">
        <v>800000000</v>
      </c>
      <c r="H4" s="61">
        <v>0</v>
      </c>
      <c r="I4" s="101">
        <v>778836252.03999996</v>
      </c>
      <c r="J4" s="42">
        <v>19985</v>
      </c>
      <c r="K4" s="53" t="s">
        <v>196</v>
      </c>
      <c r="L4" s="50"/>
      <c r="M4" s="50">
        <v>240</v>
      </c>
      <c r="N4" s="130" t="s">
        <v>197</v>
      </c>
      <c r="O4" s="127" t="s">
        <v>123</v>
      </c>
      <c r="P4" s="128"/>
      <c r="Q4" s="131" t="s">
        <v>198</v>
      </c>
    </row>
    <row r="5" spans="1:17" ht="25.5" x14ac:dyDescent="0.35">
      <c r="A5" s="97" t="s">
        <v>199</v>
      </c>
      <c r="B5" s="97" t="s">
        <v>200</v>
      </c>
      <c r="C5" s="99" t="s">
        <v>185</v>
      </c>
      <c r="D5" s="132" t="s">
        <v>201</v>
      </c>
      <c r="E5" s="97" t="s">
        <v>202</v>
      </c>
      <c r="F5" s="100">
        <v>1200000000</v>
      </c>
      <c r="G5" s="100">
        <v>1200000000</v>
      </c>
      <c r="H5" s="124">
        <v>0</v>
      </c>
      <c r="I5" s="101">
        <v>788230703.38999999</v>
      </c>
      <c r="J5" s="97">
        <v>21914</v>
      </c>
      <c r="K5" s="72" t="s">
        <v>203</v>
      </c>
      <c r="L5" s="103"/>
      <c r="M5" s="103">
        <v>276</v>
      </c>
      <c r="N5" s="126" t="s">
        <v>204</v>
      </c>
      <c r="O5" s="127" t="s">
        <v>123</v>
      </c>
      <c r="P5" s="128"/>
      <c r="Q5" s="131" t="s">
        <v>205</v>
      </c>
    </row>
    <row r="6" spans="1:17" ht="13.5" x14ac:dyDescent="0.35">
      <c r="A6" s="42" t="s">
        <v>206</v>
      </c>
      <c r="B6" s="42" t="s">
        <v>207</v>
      </c>
      <c r="C6" s="107" t="s">
        <v>208</v>
      </c>
      <c r="D6" s="44" t="s">
        <v>201</v>
      </c>
      <c r="E6" s="70" t="s">
        <v>209</v>
      </c>
      <c r="F6" s="68">
        <v>31874254.719999999</v>
      </c>
      <c r="G6" s="61">
        <v>0</v>
      </c>
      <c r="H6" s="61"/>
      <c r="I6" s="108">
        <v>0</v>
      </c>
      <c r="J6" s="42" t="s">
        <v>210</v>
      </c>
      <c r="K6" s="53" t="s">
        <v>211</v>
      </c>
      <c r="L6" s="50"/>
      <c r="M6" s="50">
        <v>240</v>
      </c>
      <c r="N6" s="133">
        <v>47313</v>
      </c>
      <c r="O6" s="127"/>
      <c r="P6" s="128"/>
      <c r="Q6" s="131" t="s">
        <v>212</v>
      </c>
    </row>
    <row r="7" spans="1:17" ht="13.5" x14ac:dyDescent="0.35">
      <c r="A7" s="42" t="s">
        <v>213</v>
      </c>
      <c r="B7" s="42" t="s">
        <v>214</v>
      </c>
      <c r="C7" s="107" t="s">
        <v>208</v>
      </c>
      <c r="D7" s="44" t="s">
        <v>201</v>
      </c>
      <c r="E7" s="70" t="s">
        <v>215</v>
      </c>
      <c r="F7" s="68">
        <v>76020034.079999998</v>
      </c>
      <c r="G7" s="61">
        <v>0</v>
      </c>
      <c r="H7" s="75"/>
      <c r="I7" s="108">
        <v>0</v>
      </c>
      <c r="J7" s="42" t="s">
        <v>216</v>
      </c>
      <c r="K7" s="53" t="s">
        <v>217</v>
      </c>
      <c r="L7" s="50"/>
      <c r="M7" s="50">
        <v>240</v>
      </c>
      <c r="N7" s="134">
        <v>47797</v>
      </c>
      <c r="O7" s="127"/>
      <c r="P7" s="128"/>
      <c r="Q7" s="131" t="s">
        <v>218</v>
      </c>
    </row>
    <row r="8" spans="1:17" ht="13.5" x14ac:dyDescent="0.35">
      <c r="A8" s="135"/>
      <c r="B8" s="135"/>
      <c r="C8" s="135"/>
      <c r="D8" s="135"/>
      <c r="E8" s="135"/>
      <c r="F8" s="135"/>
      <c r="G8" s="135"/>
      <c r="H8" s="135"/>
      <c r="I8" s="135"/>
      <c r="J8" s="135"/>
      <c r="K8" s="135"/>
      <c r="L8" s="135"/>
      <c r="M8" s="135"/>
      <c r="N8" s="135"/>
      <c r="O8" s="135"/>
      <c r="P8" s="135"/>
      <c r="Q8" s="135"/>
    </row>
    <row r="9" spans="1:17" ht="17.649999999999999" x14ac:dyDescent="0.35">
      <c r="A9" s="38" t="s">
        <v>219</v>
      </c>
      <c r="B9" s="39"/>
      <c r="C9" s="120"/>
      <c r="D9" s="39"/>
      <c r="E9" s="39"/>
      <c r="F9" s="39"/>
      <c r="G9" s="39"/>
      <c r="H9" s="39"/>
      <c r="I9" s="39"/>
      <c r="J9" s="39"/>
      <c r="K9" s="39"/>
      <c r="L9" s="39"/>
      <c r="M9" s="39"/>
      <c r="N9" s="39"/>
      <c r="O9" s="39"/>
      <c r="P9" s="136"/>
      <c r="Q9" s="136"/>
    </row>
    <row r="10" spans="1:17" ht="13.5" x14ac:dyDescent="0.35">
      <c r="A10" s="97" t="s">
        <v>220</v>
      </c>
      <c r="B10" s="97" t="s">
        <v>221</v>
      </c>
      <c r="C10" s="99" t="s">
        <v>222</v>
      </c>
      <c r="D10" s="123" t="s">
        <v>223</v>
      </c>
      <c r="E10" s="97" t="s">
        <v>224</v>
      </c>
      <c r="F10" s="100">
        <v>15000000</v>
      </c>
      <c r="G10" s="100"/>
      <c r="H10" s="137"/>
      <c r="I10" s="101">
        <v>1177430.4099999999</v>
      </c>
      <c r="J10" s="97" t="s">
        <v>225</v>
      </c>
      <c r="K10" s="72" t="s">
        <v>226</v>
      </c>
      <c r="L10" s="103"/>
      <c r="M10" s="103">
        <v>120</v>
      </c>
      <c r="N10" s="104" t="s">
        <v>227</v>
      </c>
      <c r="O10" s="128" t="s">
        <v>34</v>
      </c>
      <c r="P10" s="106">
        <v>0.52</v>
      </c>
      <c r="Q10" s="138"/>
    </row>
    <row r="11" spans="1:17" ht="13.5" x14ac:dyDescent="0.35">
      <c r="A11" s="135"/>
      <c r="B11" s="135"/>
      <c r="C11" s="135"/>
      <c r="D11" s="135"/>
      <c r="E11" s="135"/>
      <c r="F11" s="135"/>
      <c r="G11" s="135"/>
      <c r="H11" s="135"/>
      <c r="I11" s="135"/>
      <c r="J11" s="135"/>
      <c r="K11" s="135"/>
      <c r="L11" s="135"/>
      <c r="M11" s="135"/>
      <c r="N11" s="135"/>
      <c r="O11" s="135"/>
      <c r="P11" s="135"/>
      <c r="Q11" s="139"/>
    </row>
    <row r="12" spans="1:17" ht="52.5" x14ac:dyDescent="0.35">
      <c r="A12" s="38" t="s">
        <v>228</v>
      </c>
      <c r="B12" s="39"/>
      <c r="C12" s="120"/>
      <c r="D12" s="39"/>
      <c r="E12" s="39"/>
      <c r="F12" s="39"/>
      <c r="G12" s="39"/>
      <c r="H12" s="39"/>
      <c r="I12" s="39"/>
      <c r="J12" s="39"/>
      <c r="K12" s="39"/>
      <c r="L12" s="39"/>
      <c r="M12" s="39"/>
      <c r="N12" s="39"/>
      <c r="O12" s="39"/>
      <c r="P12" s="39"/>
      <c r="Q12" s="140" t="s">
        <v>229</v>
      </c>
    </row>
    <row r="13" spans="1:17" ht="13.5" x14ac:dyDescent="0.35">
      <c r="A13" s="97" t="s">
        <v>230</v>
      </c>
      <c r="B13" s="97" t="s">
        <v>231</v>
      </c>
      <c r="C13" s="141" t="s">
        <v>232</v>
      </c>
      <c r="D13" s="132" t="s">
        <v>201</v>
      </c>
      <c r="E13" s="97" t="s">
        <v>1000</v>
      </c>
      <c r="F13" s="142">
        <v>27155172.199999999</v>
      </c>
      <c r="G13" s="142"/>
      <c r="H13" s="142"/>
      <c r="I13" s="143">
        <v>23629870.8980035</v>
      </c>
      <c r="J13" s="97">
        <v>26259</v>
      </c>
      <c r="K13" s="97" t="s">
        <v>233</v>
      </c>
      <c r="L13" s="144"/>
      <c r="M13" s="144" t="s">
        <v>234</v>
      </c>
      <c r="N13" s="97" t="s">
        <v>235</v>
      </c>
      <c r="O13" s="128" t="s">
        <v>236</v>
      </c>
      <c r="P13" s="106">
        <v>0.25929999999999997</v>
      </c>
      <c r="Q13" s="97"/>
    </row>
    <row r="14" spans="1:17" ht="13.5" x14ac:dyDescent="0.35">
      <c r="A14" s="42" t="s">
        <v>237</v>
      </c>
      <c r="B14" s="69" t="s">
        <v>238</v>
      </c>
      <c r="C14" s="145" t="s">
        <v>239</v>
      </c>
      <c r="D14" s="44" t="s">
        <v>201</v>
      </c>
      <c r="E14" s="42" t="s">
        <v>240</v>
      </c>
      <c r="F14" s="68">
        <v>19300000</v>
      </c>
      <c r="G14" s="146"/>
      <c r="H14" s="142"/>
      <c r="I14" s="143">
        <v>18478610.068325099</v>
      </c>
      <c r="J14" s="42">
        <v>25786</v>
      </c>
      <c r="K14" s="42" t="s">
        <v>241</v>
      </c>
      <c r="L14" s="147"/>
      <c r="M14" s="147" t="s">
        <v>242</v>
      </c>
      <c r="N14" s="42" t="s">
        <v>243</v>
      </c>
      <c r="O14" s="128" t="s">
        <v>236</v>
      </c>
      <c r="P14" s="109">
        <v>0.29499999999999998</v>
      </c>
      <c r="Q14" s="42"/>
    </row>
    <row r="15" spans="1:17" ht="13.5" x14ac:dyDescent="0.35">
      <c r="A15" s="148" t="s">
        <v>244</v>
      </c>
      <c r="B15" s="69" t="s">
        <v>245</v>
      </c>
      <c r="C15" s="149" t="s">
        <v>246</v>
      </c>
      <c r="D15" s="44" t="s">
        <v>201</v>
      </c>
      <c r="E15" s="42" t="s">
        <v>247</v>
      </c>
      <c r="F15" s="146">
        <v>38000000</v>
      </c>
      <c r="G15" s="146">
        <f>22572649.8+13116239.12</f>
        <v>35688888.920000002</v>
      </c>
      <c r="H15" s="150">
        <v>200000</v>
      </c>
      <c r="I15" s="143">
        <v>35688888.920000002</v>
      </c>
      <c r="J15" s="48">
        <v>27219</v>
      </c>
      <c r="K15" s="42" t="s">
        <v>248</v>
      </c>
      <c r="L15" s="147"/>
      <c r="M15" s="147" t="s">
        <v>234</v>
      </c>
      <c r="N15" s="42" t="s">
        <v>249</v>
      </c>
      <c r="O15" s="128" t="s">
        <v>236</v>
      </c>
      <c r="P15" s="109">
        <v>0.12920000000000001</v>
      </c>
      <c r="Q15" s="42"/>
    </row>
    <row r="16" spans="1:17" ht="13.5" x14ac:dyDescent="0.35">
      <c r="A16" s="42" t="s">
        <v>250</v>
      </c>
      <c r="B16" s="69" t="s">
        <v>251</v>
      </c>
      <c r="C16" s="149" t="s">
        <v>252</v>
      </c>
      <c r="D16" s="44" t="s">
        <v>201</v>
      </c>
      <c r="E16" s="42" t="s">
        <v>240</v>
      </c>
      <c r="F16" s="68">
        <v>25662876.539999999</v>
      </c>
      <c r="G16" s="146"/>
      <c r="H16" s="142"/>
      <c r="I16" s="143">
        <v>19392207.410904199</v>
      </c>
      <c r="J16" s="42">
        <v>25786</v>
      </c>
      <c r="K16" s="42" t="s">
        <v>253</v>
      </c>
      <c r="L16" s="147"/>
      <c r="M16" s="147" t="s">
        <v>254</v>
      </c>
      <c r="N16" s="42" t="s">
        <v>255</v>
      </c>
      <c r="O16" s="128" t="s">
        <v>236</v>
      </c>
      <c r="P16" s="109">
        <v>9.8000000000000004E-2</v>
      </c>
      <c r="Q16" s="42"/>
    </row>
    <row r="17" spans="1:17" ht="13.5" x14ac:dyDescent="0.35">
      <c r="A17" s="42" t="s">
        <v>256</v>
      </c>
      <c r="B17" s="69" t="s">
        <v>257</v>
      </c>
      <c r="C17" s="149" t="s">
        <v>258</v>
      </c>
      <c r="D17" s="44" t="s">
        <v>201</v>
      </c>
      <c r="E17" s="42" t="s">
        <v>259</v>
      </c>
      <c r="F17" s="68">
        <v>2561059</v>
      </c>
      <c r="G17" s="146">
        <v>1911110.89</v>
      </c>
      <c r="H17" s="142"/>
      <c r="I17" s="143">
        <v>1868122.9137321999</v>
      </c>
      <c r="J17" s="42">
        <v>26259</v>
      </c>
      <c r="K17" s="42" t="s">
        <v>253</v>
      </c>
      <c r="L17" s="147"/>
      <c r="M17" s="147" t="s">
        <v>260</v>
      </c>
      <c r="N17" s="42">
        <v>47635</v>
      </c>
      <c r="O17" s="128" t="s">
        <v>236</v>
      </c>
      <c r="P17" s="109">
        <v>3.5700000000000003E-2</v>
      </c>
      <c r="Q17" s="42"/>
    </row>
    <row r="18" spans="1:17" ht="13.5" x14ac:dyDescent="0.35">
      <c r="A18" s="42" t="s">
        <v>261</v>
      </c>
      <c r="B18" s="69" t="s">
        <v>262</v>
      </c>
      <c r="C18" s="149" t="s">
        <v>263</v>
      </c>
      <c r="D18" s="44" t="s">
        <v>201</v>
      </c>
      <c r="E18" s="42" t="s">
        <v>264</v>
      </c>
      <c r="F18" s="146">
        <v>10159090.859999999</v>
      </c>
      <c r="G18" s="146"/>
      <c r="H18" s="142"/>
      <c r="I18" s="143">
        <v>8344259.2587534701</v>
      </c>
      <c r="J18" s="42">
        <v>26259</v>
      </c>
      <c r="K18" s="42" t="s">
        <v>233</v>
      </c>
      <c r="L18" s="147"/>
      <c r="M18" s="147" t="s">
        <v>234</v>
      </c>
      <c r="N18" s="42" t="s">
        <v>265</v>
      </c>
      <c r="O18" s="128" t="s">
        <v>236</v>
      </c>
      <c r="P18" s="109">
        <v>0.1477</v>
      </c>
      <c r="Q18" s="42"/>
    </row>
    <row r="19" spans="1:17" ht="13.5" x14ac:dyDescent="0.35">
      <c r="A19" s="42" t="s">
        <v>266</v>
      </c>
      <c r="B19" s="69" t="s">
        <v>267</v>
      </c>
      <c r="C19" s="145" t="s">
        <v>268</v>
      </c>
      <c r="D19" s="44" t="s">
        <v>201</v>
      </c>
      <c r="E19" s="42" t="s">
        <v>269</v>
      </c>
      <c r="F19" s="146">
        <v>43648292.359999999</v>
      </c>
      <c r="G19" s="146"/>
      <c r="H19" s="142"/>
      <c r="I19" s="143">
        <v>38905376.599575303</v>
      </c>
      <c r="J19" s="42">
        <v>27219</v>
      </c>
      <c r="K19" s="48" t="s">
        <v>270</v>
      </c>
      <c r="L19" s="147"/>
      <c r="M19" s="147" t="s">
        <v>234</v>
      </c>
      <c r="N19" s="42" t="s">
        <v>249</v>
      </c>
      <c r="O19" s="128" t="s">
        <v>236</v>
      </c>
      <c r="P19" s="151">
        <v>0.12509999999999999</v>
      </c>
      <c r="Q19" s="42"/>
    </row>
    <row r="20" spans="1:17" ht="13.5" x14ac:dyDescent="0.35">
      <c r="A20" s="48" t="s">
        <v>271</v>
      </c>
      <c r="B20" s="90" t="s">
        <v>272</v>
      </c>
      <c r="C20" s="145" t="s">
        <v>268</v>
      </c>
      <c r="D20" s="44" t="s">
        <v>201</v>
      </c>
      <c r="E20" s="48" t="s">
        <v>259</v>
      </c>
      <c r="F20" s="152">
        <v>13486939.949999999</v>
      </c>
      <c r="G20" s="152">
        <f>6000000+1500000+1500000</f>
        <v>9000000</v>
      </c>
      <c r="H20" s="142">
        <f>F20-G20</f>
        <v>4486939.9499999993</v>
      </c>
      <c r="I20" s="143">
        <v>9000000</v>
      </c>
      <c r="J20" s="42">
        <v>27219</v>
      </c>
      <c r="K20" s="42" t="s">
        <v>253</v>
      </c>
      <c r="L20" s="147"/>
      <c r="M20" s="147" t="s">
        <v>254</v>
      </c>
      <c r="N20" s="153">
        <v>47635</v>
      </c>
      <c r="O20" s="128" t="s">
        <v>236</v>
      </c>
      <c r="P20" s="154">
        <v>5.3400000000000003E-2</v>
      </c>
      <c r="Q20" s="42"/>
    </row>
    <row r="21" spans="1:17" ht="13.5" x14ac:dyDescent="0.35">
      <c r="A21" s="42" t="s">
        <v>273</v>
      </c>
      <c r="B21" s="69" t="s">
        <v>274</v>
      </c>
      <c r="C21" s="145" t="s">
        <v>275</v>
      </c>
      <c r="D21" s="44" t="s">
        <v>201</v>
      </c>
      <c r="E21" s="42" t="s">
        <v>240</v>
      </c>
      <c r="F21" s="146">
        <v>17900000</v>
      </c>
      <c r="G21" s="146"/>
      <c r="H21" s="142"/>
      <c r="I21" s="143">
        <v>15645809.3723711</v>
      </c>
      <c r="J21" s="42">
        <v>25786</v>
      </c>
      <c r="K21" s="42" t="s">
        <v>233</v>
      </c>
      <c r="L21" s="147"/>
      <c r="M21" s="147" t="s">
        <v>276</v>
      </c>
      <c r="N21" s="42" t="s">
        <v>277</v>
      </c>
      <c r="O21" s="128" t="s">
        <v>236</v>
      </c>
      <c r="P21" s="109">
        <v>0.216</v>
      </c>
      <c r="Q21" s="42"/>
    </row>
    <row r="22" spans="1:17" ht="13.5" x14ac:dyDescent="0.35">
      <c r="A22" s="42" t="s">
        <v>278</v>
      </c>
      <c r="B22" s="90" t="s">
        <v>168</v>
      </c>
      <c r="C22" s="145" t="s">
        <v>279</v>
      </c>
      <c r="D22" s="44" t="s">
        <v>201</v>
      </c>
      <c r="E22" s="42" t="s">
        <v>240</v>
      </c>
      <c r="F22" s="146">
        <v>17950000</v>
      </c>
      <c r="G22" s="146"/>
      <c r="H22" s="142"/>
      <c r="I22" s="143">
        <v>15804221.1765236</v>
      </c>
      <c r="J22" s="42">
        <v>25786</v>
      </c>
      <c r="K22" s="42" t="s">
        <v>233</v>
      </c>
      <c r="L22" s="147"/>
      <c r="M22" s="147" t="s">
        <v>276</v>
      </c>
      <c r="N22" s="42" t="s">
        <v>277</v>
      </c>
      <c r="O22" s="128" t="s">
        <v>236</v>
      </c>
      <c r="P22" s="109">
        <v>0.26</v>
      </c>
      <c r="Q22" s="42"/>
    </row>
    <row r="23" spans="1:17" ht="13.5" x14ac:dyDescent="0.35">
      <c r="A23" s="42" t="s">
        <v>280</v>
      </c>
      <c r="B23" s="69" t="s">
        <v>281</v>
      </c>
      <c r="C23" s="145" t="s">
        <v>279</v>
      </c>
      <c r="D23" s="44" t="s">
        <v>201</v>
      </c>
      <c r="E23" s="42" t="s">
        <v>282</v>
      </c>
      <c r="F23" s="146">
        <v>2773535.57</v>
      </c>
      <c r="G23" s="152">
        <f>1000000+1773535.57</f>
        <v>2773535.5700000003</v>
      </c>
      <c r="H23" s="150">
        <v>0</v>
      </c>
      <c r="I23" s="143">
        <v>2710627.1099766898</v>
      </c>
      <c r="J23" s="42">
        <v>27219</v>
      </c>
      <c r="K23" s="42" t="s">
        <v>283</v>
      </c>
      <c r="L23" s="147"/>
      <c r="M23" s="147" t="s">
        <v>284</v>
      </c>
      <c r="N23" s="42" t="s">
        <v>285</v>
      </c>
      <c r="O23" s="128" t="s">
        <v>236</v>
      </c>
      <c r="P23" s="109">
        <v>2.3599999999999999E-2</v>
      </c>
      <c r="Q23" s="42"/>
    </row>
    <row r="24" spans="1:17" ht="13.5" x14ac:dyDescent="0.35">
      <c r="A24" s="42" t="s">
        <v>286</v>
      </c>
      <c r="B24" s="69" t="s">
        <v>287</v>
      </c>
      <c r="C24" s="145" t="s">
        <v>288</v>
      </c>
      <c r="D24" s="44" t="s">
        <v>201</v>
      </c>
      <c r="E24" s="42" t="s">
        <v>1001</v>
      </c>
      <c r="F24" s="146">
        <v>72025684.019999996</v>
      </c>
      <c r="G24" s="146"/>
      <c r="H24" s="142"/>
      <c r="I24" s="143">
        <v>66203084.721263699</v>
      </c>
      <c r="J24" s="42">
        <v>26259</v>
      </c>
      <c r="K24" s="42" t="s">
        <v>241</v>
      </c>
      <c r="L24" s="147"/>
      <c r="M24" s="147" t="s">
        <v>242</v>
      </c>
      <c r="N24" s="42" t="s">
        <v>289</v>
      </c>
      <c r="O24" s="128" t="s">
        <v>236</v>
      </c>
      <c r="P24" s="109">
        <v>0.29049999999999998</v>
      </c>
      <c r="Q24" s="42"/>
    </row>
    <row r="25" spans="1:17" ht="13.5" x14ac:dyDescent="0.35">
      <c r="A25" s="42" t="s">
        <v>290</v>
      </c>
      <c r="B25" s="42" t="s">
        <v>291</v>
      </c>
      <c r="C25" s="145" t="s">
        <v>292</v>
      </c>
      <c r="D25" s="44" t="s">
        <v>201</v>
      </c>
      <c r="E25" s="42" t="s">
        <v>447</v>
      </c>
      <c r="F25" s="146">
        <v>35416280.539999999</v>
      </c>
      <c r="G25" s="146"/>
      <c r="H25" s="142"/>
      <c r="I25" s="143">
        <v>32316113.7338707</v>
      </c>
      <c r="J25" s="42">
        <v>26259</v>
      </c>
      <c r="K25" s="42" t="s">
        <v>241</v>
      </c>
      <c r="L25" s="147"/>
      <c r="M25" s="147" t="s">
        <v>242</v>
      </c>
      <c r="N25" s="42" t="s">
        <v>293</v>
      </c>
      <c r="O25" s="128" t="s">
        <v>236</v>
      </c>
      <c r="P25" s="109">
        <v>0.25209999999999999</v>
      </c>
      <c r="Q25" s="42"/>
    </row>
    <row r="26" spans="1:17" ht="13.5" x14ac:dyDescent="0.35">
      <c r="A26" s="42" t="s">
        <v>294</v>
      </c>
      <c r="B26" s="42" t="s">
        <v>295</v>
      </c>
      <c r="C26" s="149" t="s">
        <v>292</v>
      </c>
      <c r="D26" s="44" t="s">
        <v>201</v>
      </c>
      <c r="E26" s="42" t="s">
        <v>1002</v>
      </c>
      <c r="F26" s="146">
        <v>4922692</v>
      </c>
      <c r="G26" s="146"/>
      <c r="H26" s="142"/>
      <c r="I26" s="143">
        <v>4167038.8384854598</v>
      </c>
      <c r="J26" s="42">
        <v>26259</v>
      </c>
      <c r="K26" s="42" t="s">
        <v>253</v>
      </c>
      <c r="L26" s="147"/>
      <c r="M26" s="147" t="s">
        <v>296</v>
      </c>
      <c r="N26" s="42" t="s">
        <v>297</v>
      </c>
      <c r="O26" s="128" t="s">
        <v>236</v>
      </c>
      <c r="P26" s="109">
        <v>4.9099999999999998E-2</v>
      </c>
      <c r="Q26" s="42"/>
    </row>
    <row r="27" spans="1:17" ht="13.5" x14ac:dyDescent="0.35">
      <c r="A27" s="42" t="s">
        <v>298</v>
      </c>
      <c r="B27" s="42" t="s">
        <v>299</v>
      </c>
      <c r="C27" s="145" t="s">
        <v>300</v>
      </c>
      <c r="D27" s="44" t="s">
        <v>201</v>
      </c>
      <c r="E27" s="42" t="s">
        <v>447</v>
      </c>
      <c r="F27" s="146">
        <v>5500000</v>
      </c>
      <c r="G27" s="146"/>
      <c r="H27" s="142"/>
      <c r="I27" s="143">
        <v>4337079.2480299501</v>
      </c>
      <c r="J27" s="42">
        <v>26259</v>
      </c>
      <c r="K27" s="42" t="s">
        <v>253</v>
      </c>
      <c r="L27" s="147"/>
      <c r="M27" s="147" t="s">
        <v>254</v>
      </c>
      <c r="N27" s="42" t="s">
        <v>301</v>
      </c>
      <c r="O27" s="128" t="s">
        <v>236</v>
      </c>
      <c r="P27" s="109">
        <v>6.4600000000000005E-2</v>
      </c>
      <c r="Q27" s="42"/>
    </row>
    <row r="28" spans="1:17" ht="13.5" x14ac:dyDescent="0.35">
      <c r="A28" s="42" t="s">
        <v>302</v>
      </c>
      <c r="B28" s="42" t="s">
        <v>303</v>
      </c>
      <c r="C28" s="145" t="s">
        <v>300</v>
      </c>
      <c r="D28" s="44" t="s">
        <v>201</v>
      </c>
      <c r="E28" s="42" t="s">
        <v>1003</v>
      </c>
      <c r="F28" s="146">
        <v>14077400.4</v>
      </c>
      <c r="G28" s="146"/>
      <c r="H28" s="142"/>
      <c r="I28" s="143">
        <v>11916462.434256</v>
      </c>
      <c r="J28" s="42">
        <v>26259</v>
      </c>
      <c r="K28" s="42" t="s">
        <v>253</v>
      </c>
      <c r="L28" s="147"/>
      <c r="M28" s="147" t="s">
        <v>296</v>
      </c>
      <c r="N28" s="42" t="s">
        <v>304</v>
      </c>
      <c r="O28" s="128" t="s">
        <v>236</v>
      </c>
      <c r="P28" s="109">
        <v>0.1482</v>
      </c>
      <c r="Q28" s="42"/>
    </row>
    <row r="29" spans="1:17" ht="13.5" x14ac:dyDescent="0.35">
      <c r="A29" s="42" t="s">
        <v>305</v>
      </c>
      <c r="B29" s="42" t="s">
        <v>306</v>
      </c>
      <c r="C29" s="145" t="s">
        <v>307</v>
      </c>
      <c r="D29" s="44" t="s">
        <v>201</v>
      </c>
      <c r="E29" s="42" t="s">
        <v>408</v>
      </c>
      <c r="F29" s="146">
        <v>14861111.109999999</v>
      </c>
      <c r="G29" s="146"/>
      <c r="H29" s="142"/>
      <c r="I29" s="143">
        <v>11838357.5004318</v>
      </c>
      <c r="J29" s="42">
        <v>26259</v>
      </c>
      <c r="K29" s="42" t="s">
        <v>233</v>
      </c>
      <c r="L29" s="147"/>
      <c r="M29" s="147" t="s">
        <v>234</v>
      </c>
      <c r="N29" s="42" t="s">
        <v>141</v>
      </c>
      <c r="O29" s="128" t="s">
        <v>236</v>
      </c>
      <c r="P29" s="109">
        <v>0.1225</v>
      </c>
      <c r="Q29" s="42"/>
    </row>
    <row r="30" spans="1:17" ht="13.5" x14ac:dyDescent="0.35">
      <c r="A30" s="42" t="s">
        <v>308</v>
      </c>
      <c r="B30" s="42" t="s">
        <v>309</v>
      </c>
      <c r="C30" s="145" t="s">
        <v>310</v>
      </c>
      <c r="D30" s="44" t="s">
        <v>201</v>
      </c>
      <c r="E30" s="42" t="s">
        <v>1003</v>
      </c>
      <c r="F30" s="146">
        <v>15134157.99</v>
      </c>
      <c r="G30" s="146"/>
      <c r="H30" s="142"/>
      <c r="I30" s="143">
        <v>11586500.502925601</v>
      </c>
      <c r="J30" s="42">
        <v>26259</v>
      </c>
      <c r="K30" s="42" t="s">
        <v>253</v>
      </c>
      <c r="L30" s="147"/>
      <c r="M30" s="147" t="s">
        <v>296</v>
      </c>
      <c r="N30" s="42" t="s">
        <v>304</v>
      </c>
      <c r="O30" s="128" t="s">
        <v>236</v>
      </c>
      <c r="P30" s="109">
        <v>0.13</v>
      </c>
      <c r="Q30" s="42"/>
    </row>
    <row r="31" spans="1:17" ht="13.5" x14ac:dyDescent="0.35">
      <c r="A31" s="42" t="s">
        <v>311</v>
      </c>
      <c r="B31" s="42" t="s">
        <v>312</v>
      </c>
      <c r="C31" s="145" t="s">
        <v>313</v>
      </c>
      <c r="D31" s="44" t="s">
        <v>201</v>
      </c>
      <c r="E31" s="42" t="s">
        <v>264</v>
      </c>
      <c r="F31" s="146">
        <v>35085806.409999996</v>
      </c>
      <c r="G31" s="146"/>
      <c r="H31" s="142"/>
      <c r="I31" s="143">
        <v>31609651.4008816</v>
      </c>
      <c r="J31" s="42">
        <v>26259</v>
      </c>
      <c r="K31" s="42" t="s">
        <v>241</v>
      </c>
      <c r="L31" s="147"/>
      <c r="M31" s="147" t="s">
        <v>242</v>
      </c>
      <c r="N31" s="42" t="s">
        <v>265</v>
      </c>
      <c r="O31" s="128" t="s">
        <v>236</v>
      </c>
      <c r="P31" s="109">
        <v>0.21279999999999999</v>
      </c>
      <c r="Q31" s="42"/>
    </row>
    <row r="32" spans="1:17" ht="13.5" x14ac:dyDescent="0.35">
      <c r="A32" s="42" t="s">
        <v>314</v>
      </c>
      <c r="B32" s="69" t="s">
        <v>315</v>
      </c>
      <c r="C32" s="145" t="s">
        <v>316</v>
      </c>
      <c r="D32" s="44" t="s">
        <v>201</v>
      </c>
      <c r="E32" s="42" t="s">
        <v>240</v>
      </c>
      <c r="F32" s="146">
        <v>19200000</v>
      </c>
      <c r="G32" s="146"/>
      <c r="H32" s="142"/>
      <c r="I32" s="143">
        <v>15107830.5938391</v>
      </c>
      <c r="J32" s="42">
        <v>25786</v>
      </c>
      <c r="K32" s="42" t="s">
        <v>253</v>
      </c>
      <c r="L32" s="147"/>
      <c r="M32" s="147" t="s">
        <v>254</v>
      </c>
      <c r="N32" s="42" t="s">
        <v>255</v>
      </c>
      <c r="O32" s="128" t="s">
        <v>236</v>
      </c>
      <c r="P32" s="109">
        <v>0.14599999999999999</v>
      </c>
      <c r="Q32" s="42"/>
    </row>
    <row r="33" spans="1:17" ht="13.5" x14ac:dyDescent="0.35">
      <c r="A33" s="42" t="s">
        <v>317</v>
      </c>
      <c r="B33" s="42" t="s">
        <v>318</v>
      </c>
      <c r="C33" s="149" t="s">
        <v>319</v>
      </c>
      <c r="D33" s="44" t="s">
        <v>201</v>
      </c>
      <c r="E33" s="42" t="s">
        <v>264</v>
      </c>
      <c r="F33" s="146">
        <v>54688115.420000002</v>
      </c>
      <c r="G33" s="146"/>
      <c r="H33" s="142"/>
      <c r="I33" s="143">
        <v>45566329.461349003</v>
      </c>
      <c r="J33" s="42">
        <v>26259</v>
      </c>
      <c r="K33" s="42" t="s">
        <v>233</v>
      </c>
      <c r="L33" s="147"/>
      <c r="M33" s="147" t="s">
        <v>234</v>
      </c>
      <c r="N33" s="42" t="s">
        <v>265</v>
      </c>
      <c r="O33" s="128" t="s">
        <v>236</v>
      </c>
      <c r="P33" s="109">
        <v>0.26829999999999998</v>
      </c>
      <c r="Q33" s="42"/>
    </row>
    <row r="34" spans="1:17" ht="13.5" x14ac:dyDescent="0.35">
      <c r="A34" s="42" t="s">
        <v>320</v>
      </c>
      <c r="B34" s="42" t="s">
        <v>321</v>
      </c>
      <c r="C34" s="149" t="s">
        <v>319</v>
      </c>
      <c r="D34" s="44" t="s">
        <v>201</v>
      </c>
      <c r="E34" s="42" t="s">
        <v>322</v>
      </c>
      <c r="F34" s="146">
        <v>18900000</v>
      </c>
      <c r="G34" s="146"/>
      <c r="H34" s="142"/>
      <c r="I34" s="143">
        <v>17083091.4175644</v>
      </c>
      <c r="J34" s="42">
        <v>26729</v>
      </c>
      <c r="K34" s="42" t="s">
        <v>253</v>
      </c>
      <c r="L34" s="147"/>
      <c r="M34" s="147" t="s">
        <v>296</v>
      </c>
      <c r="N34" s="42" t="s">
        <v>323</v>
      </c>
      <c r="O34" s="128" t="s">
        <v>236</v>
      </c>
      <c r="P34" s="109">
        <v>8.1699999999999995E-2</v>
      </c>
      <c r="Q34" s="42"/>
    </row>
    <row r="35" spans="1:17" ht="13.5" x14ac:dyDescent="0.35">
      <c r="A35" s="42" t="s">
        <v>324</v>
      </c>
      <c r="B35" s="69" t="s">
        <v>325</v>
      </c>
      <c r="C35" s="149" t="s">
        <v>326</v>
      </c>
      <c r="D35" s="44" t="s">
        <v>201</v>
      </c>
      <c r="E35" s="42" t="s">
        <v>240</v>
      </c>
      <c r="F35" s="146">
        <v>7767216.5</v>
      </c>
      <c r="G35" s="146"/>
      <c r="H35" s="142"/>
      <c r="I35" s="143">
        <v>5700088.8348908601</v>
      </c>
      <c r="J35" s="42">
        <v>25786</v>
      </c>
      <c r="K35" s="42" t="s">
        <v>253</v>
      </c>
      <c r="L35" s="147"/>
      <c r="M35" s="147" t="s">
        <v>254</v>
      </c>
      <c r="N35" s="42" t="s">
        <v>255</v>
      </c>
      <c r="O35" s="128" t="s">
        <v>236</v>
      </c>
      <c r="P35" s="109">
        <v>0.125</v>
      </c>
      <c r="Q35" s="42"/>
    </row>
    <row r="36" spans="1:17" ht="13.5" x14ac:dyDescent="0.35">
      <c r="A36" s="42" t="s">
        <v>327</v>
      </c>
      <c r="B36" s="42" t="s">
        <v>328</v>
      </c>
      <c r="C36" s="149" t="s">
        <v>329</v>
      </c>
      <c r="D36" s="44" t="s">
        <v>201</v>
      </c>
      <c r="E36" s="42" t="s">
        <v>360</v>
      </c>
      <c r="F36" s="146">
        <v>89060000</v>
      </c>
      <c r="G36" s="146"/>
      <c r="H36" s="142"/>
      <c r="I36" s="143">
        <v>80023083.464395404</v>
      </c>
      <c r="J36" s="42">
        <v>26259</v>
      </c>
      <c r="K36" s="42" t="s">
        <v>233</v>
      </c>
      <c r="L36" s="147"/>
      <c r="M36" s="147" t="s">
        <v>234</v>
      </c>
      <c r="N36" s="42" t="s">
        <v>330</v>
      </c>
      <c r="O36" s="128" t="s">
        <v>236</v>
      </c>
      <c r="P36" s="109">
        <v>0.35</v>
      </c>
      <c r="Q36" s="42"/>
    </row>
    <row r="37" spans="1:17" ht="13.5" x14ac:dyDescent="0.35">
      <c r="A37" s="42" t="s">
        <v>331</v>
      </c>
      <c r="B37" s="69" t="s">
        <v>332</v>
      </c>
      <c r="C37" s="149" t="s">
        <v>333</v>
      </c>
      <c r="D37" s="44" t="s">
        <v>201</v>
      </c>
      <c r="E37" s="42" t="s">
        <v>240</v>
      </c>
      <c r="F37" s="146">
        <v>29468022.789999999</v>
      </c>
      <c r="G37" s="146"/>
      <c r="H37" s="142"/>
      <c r="I37" s="143">
        <v>27829826.045211598</v>
      </c>
      <c r="J37" s="42">
        <v>25786</v>
      </c>
      <c r="K37" s="42" t="s">
        <v>241</v>
      </c>
      <c r="L37" s="147"/>
      <c r="M37" s="147" t="s">
        <v>242</v>
      </c>
      <c r="N37" s="42" t="s">
        <v>243</v>
      </c>
      <c r="O37" s="128" t="s">
        <v>236</v>
      </c>
      <c r="P37" s="109">
        <v>0.23499999999999999</v>
      </c>
      <c r="Q37" s="42"/>
    </row>
    <row r="38" spans="1:17" ht="13.5" x14ac:dyDescent="0.35">
      <c r="A38" s="42" t="s">
        <v>334</v>
      </c>
      <c r="B38" s="42" t="s">
        <v>335</v>
      </c>
      <c r="C38" s="149" t="s">
        <v>333</v>
      </c>
      <c r="D38" s="44" t="s">
        <v>201</v>
      </c>
      <c r="E38" s="42" t="s">
        <v>1004</v>
      </c>
      <c r="F38" s="146">
        <v>3500000</v>
      </c>
      <c r="G38" s="146"/>
      <c r="H38" s="142"/>
      <c r="I38" s="143">
        <v>2962735.8302528602</v>
      </c>
      <c r="J38" s="42">
        <v>26259</v>
      </c>
      <c r="K38" s="42" t="s">
        <v>253</v>
      </c>
      <c r="L38" s="147"/>
      <c r="M38" s="147" t="s">
        <v>296</v>
      </c>
      <c r="N38" s="42" t="s">
        <v>336</v>
      </c>
      <c r="O38" s="128" t="s">
        <v>236</v>
      </c>
      <c r="P38" s="109">
        <v>2.3300000000000001E-2</v>
      </c>
      <c r="Q38" s="42"/>
    </row>
    <row r="39" spans="1:17" ht="13.5" x14ac:dyDescent="0.35">
      <c r="A39" s="42" t="s">
        <v>337</v>
      </c>
      <c r="B39" s="42" t="s">
        <v>338</v>
      </c>
      <c r="C39" s="145" t="s">
        <v>339</v>
      </c>
      <c r="D39" s="44" t="s">
        <v>201</v>
      </c>
      <c r="E39" s="42" t="s">
        <v>447</v>
      </c>
      <c r="F39" s="146">
        <v>5650713.3799999999</v>
      </c>
      <c r="G39" s="146"/>
      <c r="H39" s="142"/>
      <c r="I39" s="143">
        <v>2114493.2625930598</v>
      </c>
      <c r="J39" s="42">
        <v>26259</v>
      </c>
      <c r="K39" s="42" t="s">
        <v>340</v>
      </c>
      <c r="L39" s="147"/>
      <c r="M39" s="147" t="s">
        <v>341</v>
      </c>
      <c r="N39" s="42" t="s">
        <v>342</v>
      </c>
      <c r="O39" s="128" t="s">
        <v>236</v>
      </c>
      <c r="P39" s="109">
        <v>0.22689999999999999</v>
      </c>
      <c r="Q39" s="42"/>
    </row>
    <row r="40" spans="1:17" ht="13.5" x14ac:dyDescent="0.35">
      <c r="A40" s="42" t="s">
        <v>343</v>
      </c>
      <c r="B40" s="42" t="s">
        <v>344</v>
      </c>
      <c r="C40" s="145" t="s">
        <v>345</v>
      </c>
      <c r="D40" s="44" t="s">
        <v>201</v>
      </c>
      <c r="E40" s="42" t="s">
        <v>360</v>
      </c>
      <c r="F40" s="146">
        <v>8000000</v>
      </c>
      <c r="G40" s="146"/>
      <c r="H40" s="142"/>
      <c r="I40" s="143">
        <v>3744751.3135176999</v>
      </c>
      <c r="J40" s="42">
        <v>26259</v>
      </c>
      <c r="K40" s="42" t="s">
        <v>340</v>
      </c>
      <c r="L40" s="147"/>
      <c r="M40" s="147" t="s">
        <v>346</v>
      </c>
      <c r="N40" s="42" t="s">
        <v>347</v>
      </c>
      <c r="O40" s="128" t="s">
        <v>236</v>
      </c>
      <c r="P40" s="109">
        <v>0.14599999999999999</v>
      </c>
      <c r="Q40" s="42"/>
    </row>
    <row r="41" spans="1:17" ht="13.5" x14ac:dyDescent="0.35">
      <c r="A41" s="42" t="s">
        <v>348</v>
      </c>
      <c r="B41" s="69" t="s">
        <v>349</v>
      </c>
      <c r="C41" s="149" t="s">
        <v>350</v>
      </c>
      <c r="D41" s="44" t="s">
        <v>201</v>
      </c>
      <c r="E41" s="42" t="s">
        <v>240</v>
      </c>
      <c r="F41" s="146">
        <v>95000000</v>
      </c>
      <c r="G41" s="146"/>
      <c r="H41" s="142"/>
      <c r="I41" s="143">
        <v>83763527.155911297</v>
      </c>
      <c r="J41" s="42">
        <v>25786</v>
      </c>
      <c r="K41" s="42" t="s">
        <v>233</v>
      </c>
      <c r="L41" s="147"/>
      <c r="M41" s="147" t="s">
        <v>276</v>
      </c>
      <c r="N41" s="42" t="s">
        <v>277</v>
      </c>
      <c r="O41" s="128" t="s">
        <v>236</v>
      </c>
      <c r="P41" s="109">
        <v>0.35</v>
      </c>
      <c r="Q41" s="42"/>
    </row>
    <row r="42" spans="1:17" ht="13.5" x14ac:dyDescent="0.35">
      <c r="A42" s="42" t="s">
        <v>351</v>
      </c>
      <c r="B42" s="90" t="s">
        <v>352</v>
      </c>
      <c r="C42" s="145" t="s">
        <v>353</v>
      </c>
      <c r="D42" s="44" t="s">
        <v>201</v>
      </c>
      <c r="E42" s="48" t="s">
        <v>259</v>
      </c>
      <c r="F42" s="152">
        <v>2000000</v>
      </c>
      <c r="G42" s="152">
        <f>1800000+200000</f>
        <v>2000000</v>
      </c>
      <c r="H42" s="142">
        <f>F42-G42</f>
        <v>0</v>
      </c>
      <c r="I42" s="143">
        <v>1799999.99</v>
      </c>
      <c r="J42" s="48">
        <v>27219</v>
      </c>
      <c r="K42" s="42" t="s">
        <v>354</v>
      </c>
      <c r="L42" s="147"/>
      <c r="M42" s="147" t="s">
        <v>355</v>
      </c>
      <c r="N42" s="48" t="s">
        <v>356</v>
      </c>
      <c r="O42" s="128" t="s">
        <v>236</v>
      </c>
      <c r="P42" s="154">
        <v>4.2599999999999999E-2</v>
      </c>
      <c r="Q42" s="42"/>
    </row>
    <row r="43" spans="1:17" ht="13.5" x14ac:dyDescent="0.35">
      <c r="A43" s="42" t="s">
        <v>357</v>
      </c>
      <c r="B43" s="69" t="s">
        <v>358</v>
      </c>
      <c r="C43" s="145" t="s">
        <v>359</v>
      </c>
      <c r="D43" s="44" t="s">
        <v>201</v>
      </c>
      <c r="E43" s="42" t="s">
        <v>360</v>
      </c>
      <c r="F43" s="146">
        <v>28007755</v>
      </c>
      <c r="G43" s="146"/>
      <c r="H43" s="142"/>
      <c r="I43" s="143">
        <v>19134963.465105802</v>
      </c>
      <c r="J43" s="42">
        <v>26259</v>
      </c>
      <c r="K43" s="42" t="s">
        <v>233</v>
      </c>
      <c r="L43" s="147"/>
      <c r="M43" s="147" t="s">
        <v>234</v>
      </c>
      <c r="N43" s="42" t="s">
        <v>330</v>
      </c>
      <c r="O43" s="128" t="s">
        <v>236</v>
      </c>
      <c r="P43" s="109">
        <v>0.12870000000000001</v>
      </c>
      <c r="Q43" s="42"/>
    </row>
    <row r="44" spans="1:17" ht="13.5" x14ac:dyDescent="0.35">
      <c r="A44" s="42" t="s">
        <v>361</v>
      </c>
      <c r="B44" s="69" t="s">
        <v>362</v>
      </c>
      <c r="C44" s="149" t="s">
        <v>363</v>
      </c>
      <c r="D44" s="44" t="s">
        <v>201</v>
      </c>
      <c r="E44" s="42" t="s">
        <v>1005</v>
      </c>
      <c r="F44" s="146">
        <v>238393008</v>
      </c>
      <c r="G44" s="146"/>
      <c r="H44" s="142"/>
      <c r="I44" s="143">
        <v>197415622.52623501</v>
      </c>
      <c r="J44" s="42">
        <v>26259</v>
      </c>
      <c r="K44" s="42" t="s">
        <v>253</v>
      </c>
      <c r="L44" s="147"/>
      <c r="M44" s="147" t="s">
        <v>254</v>
      </c>
      <c r="N44" s="42" t="s">
        <v>364</v>
      </c>
      <c r="O44" s="128" t="s">
        <v>236</v>
      </c>
      <c r="P44" s="109">
        <v>0.22189999999999999</v>
      </c>
      <c r="Q44" s="42"/>
    </row>
    <row r="45" spans="1:17" ht="13.5" x14ac:dyDescent="0.35">
      <c r="A45" s="42" t="s">
        <v>365</v>
      </c>
      <c r="B45" s="69" t="s">
        <v>366</v>
      </c>
      <c r="C45" s="149" t="s">
        <v>363</v>
      </c>
      <c r="D45" s="44" t="s">
        <v>201</v>
      </c>
      <c r="E45" s="42" t="s">
        <v>367</v>
      </c>
      <c r="F45" s="146">
        <v>65400000</v>
      </c>
      <c r="G45" s="146"/>
      <c r="H45" s="142"/>
      <c r="I45" s="143">
        <v>32700000</v>
      </c>
      <c r="J45" s="42">
        <v>26729</v>
      </c>
      <c r="K45" s="42" t="s">
        <v>354</v>
      </c>
      <c r="L45" s="147"/>
      <c r="M45" s="147" t="s">
        <v>368</v>
      </c>
      <c r="N45" s="42" t="s">
        <v>369</v>
      </c>
      <c r="O45" s="128" t="s">
        <v>236</v>
      </c>
      <c r="P45" s="109">
        <v>0.12809999999999999</v>
      </c>
      <c r="Q45" s="42"/>
    </row>
    <row r="46" spans="1:17" ht="13.5" x14ac:dyDescent="0.35">
      <c r="A46" s="42" t="s">
        <v>370</v>
      </c>
      <c r="B46" s="42" t="s">
        <v>371</v>
      </c>
      <c r="C46" s="145" t="s">
        <v>372</v>
      </c>
      <c r="D46" s="44" t="s">
        <v>201</v>
      </c>
      <c r="E46" s="42" t="s">
        <v>447</v>
      </c>
      <c r="F46" s="146">
        <v>7000000</v>
      </c>
      <c r="G46" s="146"/>
      <c r="H46" s="142"/>
      <c r="I46" s="143">
        <v>3122800.3678136198</v>
      </c>
      <c r="J46" s="42">
        <v>26259</v>
      </c>
      <c r="K46" s="42" t="s">
        <v>340</v>
      </c>
      <c r="L46" s="147"/>
      <c r="M46" s="147" t="s">
        <v>341</v>
      </c>
      <c r="N46" s="42" t="s">
        <v>342</v>
      </c>
      <c r="O46" s="128" t="s">
        <v>236</v>
      </c>
      <c r="P46" s="109">
        <v>0.15409999999999999</v>
      </c>
      <c r="Q46" s="42"/>
    </row>
    <row r="47" spans="1:17" ht="13.5" x14ac:dyDescent="0.35">
      <c r="A47" s="42" t="s">
        <v>373</v>
      </c>
      <c r="B47" s="42" t="s">
        <v>374</v>
      </c>
      <c r="C47" s="149" t="s">
        <v>375</v>
      </c>
      <c r="D47" s="44" t="s">
        <v>201</v>
      </c>
      <c r="E47" s="42" t="s">
        <v>408</v>
      </c>
      <c r="F47" s="146">
        <v>15900000</v>
      </c>
      <c r="G47" s="146"/>
      <c r="H47" s="142"/>
      <c r="I47" s="143">
        <v>14258292.966508901</v>
      </c>
      <c r="J47" s="42">
        <v>26259</v>
      </c>
      <c r="K47" s="42" t="s">
        <v>233</v>
      </c>
      <c r="L47" s="147"/>
      <c r="M47" s="147" t="s">
        <v>234</v>
      </c>
      <c r="N47" s="42" t="s">
        <v>141</v>
      </c>
      <c r="O47" s="128" t="s">
        <v>236</v>
      </c>
      <c r="P47" s="109">
        <v>0.34560000000000002</v>
      </c>
      <c r="Q47" s="42"/>
    </row>
    <row r="48" spans="1:17" ht="13.5" x14ac:dyDescent="0.35">
      <c r="A48" s="42" t="s">
        <v>376</v>
      </c>
      <c r="B48" s="42" t="s">
        <v>377</v>
      </c>
      <c r="C48" s="145" t="s">
        <v>378</v>
      </c>
      <c r="D48" s="44" t="s">
        <v>201</v>
      </c>
      <c r="E48" s="42" t="s">
        <v>447</v>
      </c>
      <c r="F48" s="146">
        <v>26788492.140000001</v>
      </c>
      <c r="G48" s="146"/>
      <c r="H48" s="142"/>
      <c r="I48" s="143">
        <v>24472654.855490901</v>
      </c>
      <c r="J48" s="42">
        <v>26259</v>
      </c>
      <c r="K48" s="42" t="s">
        <v>233</v>
      </c>
      <c r="L48" s="147"/>
      <c r="M48" s="147" t="s">
        <v>234</v>
      </c>
      <c r="N48" s="42" t="s">
        <v>265</v>
      </c>
      <c r="O48" s="128" t="s">
        <v>236</v>
      </c>
      <c r="P48" s="109">
        <v>0.1681</v>
      </c>
      <c r="Q48" s="42"/>
    </row>
    <row r="49" spans="1:17" ht="13.5" x14ac:dyDescent="0.35">
      <c r="A49" s="42" t="s">
        <v>379</v>
      </c>
      <c r="B49" s="69" t="s">
        <v>380</v>
      </c>
      <c r="C49" s="149" t="s">
        <v>381</v>
      </c>
      <c r="D49" s="44" t="s">
        <v>201</v>
      </c>
      <c r="E49" s="42" t="s">
        <v>1006</v>
      </c>
      <c r="F49" s="146">
        <v>27790483.600000001</v>
      </c>
      <c r="G49" s="146"/>
      <c r="H49" s="142"/>
      <c r="I49" s="143">
        <v>24003546.308414102</v>
      </c>
      <c r="J49" s="42">
        <v>26259</v>
      </c>
      <c r="K49" s="42" t="s">
        <v>233</v>
      </c>
      <c r="L49" s="147"/>
      <c r="M49" s="147" t="s">
        <v>234</v>
      </c>
      <c r="N49" s="42" t="s">
        <v>382</v>
      </c>
      <c r="O49" s="128" t="s">
        <v>236</v>
      </c>
      <c r="P49" s="109">
        <v>0.21410000000000001</v>
      </c>
      <c r="Q49" s="42"/>
    </row>
    <row r="50" spans="1:17" ht="13.5" x14ac:dyDescent="0.35">
      <c r="A50" s="42" t="s">
        <v>383</v>
      </c>
      <c r="B50" s="42" t="s">
        <v>384</v>
      </c>
      <c r="C50" s="149" t="s">
        <v>381</v>
      </c>
      <c r="D50" s="44" t="s">
        <v>201</v>
      </c>
      <c r="E50" s="42" t="s">
        <v>1000</v>
      </c>
      <c r="F50" s="146">
        <v>17000000</v>
      </c>
      <c r="G50" s="146"/>
      <c r="H50" s="142"/>
      <c r="I50" s="143">
        <v>15868943.552692</v>
      </c>
      <c r="J50" s="42">
        <v>26259</v>
      </c>
      <c r="K50" s="42" t="s">
        <v>233</v>
      </c>
      <c r="L50" s="147"/>
      <c r="M50" s="147" t="s">
        <v>234</v>
      </c>
      <c r="N50" s="42" t="s">
        <v>235</v>
      </c>
      <c r="O50" s="128" t="s">
        <v>236</v>
      </c>
      <c r="P50" s="109">
        <v>0.1211</v>
      </c>
      <c r="Q50" s="42"/>
    </row>
    <row r="51" spans="1:17" ht="13.5" x14ac:dyDescent="0.35">
      <c r="A51" s="42" t="s">
        <v>385</v>
      </c>
      <c r="B51" s="69" t="s">
        <v>386</v>
      </c>
      <c r="C51" s="145" t="s">
        <v>387</v>
      </c>
      <c r="D51" s="44" t="s">
        <v>201</v>
      </c>
      <c r="E51" s="42" t="s">
        <v>240</v>
      </c>
      <c r="F51" s="146">
        <v>58160000</v>
      </c>
      <c r="G51" s="146"/>
      <c r="H51" s="142"/>
      <c r="I51" s="143">
        <v>55149751.882498696</v>
      </c>
      <c r="J51" s="42">
        <v>25786</v>
      </c>
      <c r="K51" s="42" t="s">
        <v>241</v>
      </c>
      <c r="L51" s="147"/>
      <c r="M51" s="147" t="s">
        <v>242</v>
      </c>
      <c r="N51" s="42" t="s">
        <v>243</v>
      </c>
      <c r="O51" s="128" t="s">
        <v>236</v>
      </c>
      <c r="P51" s="151">
        <v>0.17280000000000001</v>
      </c>
      <c r="Q51" s="42"/>
    </row>
    <row r="52" spans="1:17" ht="13.5" x14ac:dyDescent="0.35">
      <c r="A52" s="42" t="s">
        <v>388</v>
      </c>
      <c r="B52" s="69" t="s">
        <v>389</v>
      </c>
      <c r="C52" s="145" t="s">
        <v>390</v>
      </c>
      <c r="D52" s="44" t="s">
        <v>201</v>
      </c>
      <c r="E52" s="42" t="s">
        <v>367</v>
      </c>
      <c r="F52" s="146">
        <v>54824286.670000002</v>
      </c>
      <c r="G52" s="152">
        <f>24196420.61+27730138.6+100000</f>
        <v>52026559.210000001</v>
      </c>
      <c r="H52" s="150">
        <v>0</v>
      </c>
      <c r="I52" s="143">
        <v>51303312.793889798</v>
      </c>
      <c r="J52" s="42">
        <v>26259</v>
      </c>
      <c r="K52" s="42" t="s">
        <v>253</v>
      </c>
      <c r="L52" s="147"/>
      <c r="M52" s="147" t="s">
        <v>391</v>
      </c>
      <c r="N52" s="42" t="s">
        <v>392</v>
      </c>
      <c r="O52" s="128" t="s">
        <v>236</v>
      </c>
      <c r="P52" s="109">
        <v>0.22109999999999999</v>
      </c>
      <c r="Q52" s="42"/>
    </row>
    <row r="53" spans="1:17" ht="13.5" x14ac:dyDescent="0.35">
      <c r="A53" s="42" t="s">
        <v>393</v>
      </c>
      <c r="B53" s="42" t="s">
        <v>394</v>
      </c>
      <c r="C53" s="145" t="s">
        <v>395</v>
      </c>
      <c r="D53" s="44" t="s">
        <v>201</v>
      </c>
      <c r="E53" s="42" t="s">
        <v>1003</v>
      </c>
      <c r="F53" s="146">
        <v>28299949.32</v>
      </c>
      <c r="G53" s="146"/>
      <c r="H53" s="142"/>
      <c r="I53" s="143">
        <v>26445712.2167047</v>
      </c>
      <c r="J53" s="42">
        <v>26259</v>
      </c>
      <c r="K53" s="42" t="s">
        <v>241</v>
      </c>
      <c r="L53" s="147"/>
      <c r="M53" s="147" t="s">
        <v>242</v>
      </c>
      <c r="N53" s="42" t="s">
        <v>396</v>
      </c>
      <c r="O53" s="128" t="s">
        <v>236</v>
      </c>
      <c r="P53" s="109">
        <v>0.19600000000000001</v>
      </c>
      <c r="Q53" s="42"/>
    </row>
    <row r="54" spans="1:17" ht="13.5" x14ac:dyDescent="0.35">
      <c r="A54" s="42" t="s">
        <v>397</v>
      </c>
      <c r="B54" s="69" t="s">
        <v>398</v>
      </c>
      <c r="C54" s="145" t="s">
        <v>399</v>
      </c>
      <c r="D54" s="44" t="s">
        <v>201</v>
      </c>
      <c r="E54" s="42" t="s">
        <v>400</v>
      </c>
      <c r="F54" s="146">
        <v>5500000</v>
      </c>
      <c r="G54" s="152">
        <v>3000000</v>
      </c>
      <c r="H54" s="150">
        <v>0</v>
      </c>
      <c r="I54" s="143">
        <v>2973288.0636033602</v>
      </c>
      <c r="J54" s="42">
        <v>27219</v>
      </c>
      <c r="K54" s="42" t="s">
        <v>253</v>
      </c>
      <c r="L54" s="147"/>
      <c r="M54" s="147" t="s">
        <v>296</v>
      </c>
      <c r="N54" s="42" t="s">
        <v>401</v>
      </c>
      <c r="O54" s="128" t="s">
        <v>236</v>
      </c>
      <c r="P54" s="109">
        <v>5.28E-2</v>
      </c>
      <c r="Q54" s="42"/>
    </row>
    <row r="55" spans="1:17" ht="13.5" x14ac:dyDescent="0.35">
      <c r="A55" s="42" t="s">
        <v>402</v>
      </c>
      <c r="B55" s="69" t="s">
        <v>403</v>
      </c>
      <c r="C55" s="145" t="s">
        <v>404</v>
      </c>
      <c r="D55" s="44" t="s">
        <v>201</v>
      </c>
      <c r="E55" s="42" t="s">
        <v>360</v>
      </c>
      <c r="F55" s="146">
        <v>19470966</v>
      </c>
      <c r="G55" s="146"/>
      <c r="H55" s="142"/>
      <c r="I55" s="143">
        <v>17625580.481127199</v>
      </c>
      <c r="J55" s="42">
        <v>26259</v>
      </c>
      <c r="K55" s="42" t="s">
        <v>233</v>
      </c>
      <c r="L55" s="147"/>
      <c r="M55" s="147" t="s">
        <v>234</v>
      </c>
      <c r="N55" s="42" t="s">
        <v>330</v>
      </c>
      <c r="O55" s="128" t="s">
        <v>236</v>
      </c>
      <c r="P55" s="109">
        <v>0.1086</v>
      </c>
      <c r="Q55" s="42"/>
    </row>
    <row r="56" spans="1:17" ht="13.5" x14ac:dyDescent="0.35">
      <c r="A56" s="42" t="s">
        <v>405</v>
      </c>
      <c r="B56" s="69" t="s">
        <v>406</v>
      </c>
      <c r="C56" s="145" t="s">
        <v>407</v>
      </c>
      <c r="D56" s="44" t="s">
        <v>201</v>
      </c>
      <c r="E56" s="42" t="s">
        <v>408</v>
      </c>
      <c r="F56" s="146">
        <v>8581747.5600000005</v>
      </c>
      <c r="G56" s="146"/>
      <c r="H56" s="142"/>
      <c r="I56" s="143">
        <v>6859875.0852476498</v>
      </c>
      <c r="J56" s="42">
        <v>26259</v>
      </c>
      <c r="K56" s="42" t="s">
        <v>233</v>
      </c>
      <c r="L56" s="147"/>
      <c r="M56" s="147" t="s">
        <v>234</v>
      </c>
      <c r="N56" s="42" t="s">
        <v>141</v>
      </c>
      <c r="O56" s="128" t="s">
        <v>236</v>
      </c>
      <c r="P56" s="109">
        <v>0.10390000000000001</v>
      </c>
      <c r="Q56" s="42"/>
    </row>
    <row r="57" spans="1:17" ht="13.5" x14ac:dyDescent="0.35">
      <c r="A57" s="42" t="s">
        <v>409</v>
      </c>
      <c r="B57" s="69" t="s">
        <v>410</v>
      </c>
      <c r="C57" s="149" t="s">
        <v>411</v>
      </c>
      <c r="D57" s="44" t="s">
        <v>201</v>
      </c>
      <c r="E57" s="42" t="s">
        <v>1001</v>
      </c>
      <c r="F57" s="146">
        <v>144062432.09</v>
      </c>
      <c r="G57" s="146"/>
      <c r="H57" s="142"/>
      <c r="I57" s="143">
        <v>131013240.125411</v>
      </c>
      <c r="J57" s="42">
        <v>26259</v>
      </c>
      <c r="K57" s="42" t="s">
        <v>233</v>
      </c>
      <c r="L57" s="147"/>
      <c r="M57" s="147" t="s">
        <v>234</v>
      </c>
      <c r="N57" s="42" t="s">
        <v>412</v>
      </c>
      <c r="O57" s="128" t="s">
        <v>236</v>
      </c>
      <c r="P57" s="109">
        <v>0.29320000000000002</v>
      </c>
      <c r="Q57" s="42"/>
    </row>
    <row r="58" spans="1:17" ht="13.5" x14ac:dyDescent="0.35">
      <c r="A58" s="42" t="s">
        <v>413</v>
      </c>
      <c r="B58" s="42" t="s">
        <v>414</v>
      </c>
      <c r="C58" s="145" t="s">
        <v>415</v>
      </c>
      <c r="D58" s="44" t="s">
        <v>201</v>
      </c>
      <c r="E58" s="42" t="s">
        <v>367</v>
      </c>
      <c r="F58" s="146">
        <v>80124990.659999996</v>
      </c>
      <c r="G58" s="152">
        <f>60395261.38+1240047+2000000+6759953+7000000</f>
        <v>77395261.379999995</v>
      </c>
      <c r="H58" s="150">
        <v>0</v>
      </c>
      <c r="I58" s="143">
        <v>76547015.737997994</v>
      </c>
      <c r="J58" s="42">
        <v>26259</v>
      </c>
      <c r="K58" s="42" t="s">
        <v>248</v>
      </c>
      <c r="L58" s="147"/>
      <c r="M58" s="147" t="s">
        <v>234</v>
      </c>
      <c r="N58" s="42" t="s">
        <v>416</v>
      </c>
      <c r="O58" s="128" t="s">
        <v>236</v>
      </c>
      <c r="P58" s="109">
        <v>0.29959999999999998</v>
      </c>
      <c r="Q58" s="42"/>
    </row>
    <row r="59" spans="1:17" ht="13.5" x14ac:dyDescent="0.35">
      <c r="A59" s="42" t="s">
        <v>417</v>
      </c>
      <c r="B59" s="69" t="s">
        <v>418</v>
      </c>
      <c r="C59" s="149" t="s">
        <v>419</v>
      </c>
      <c r="D59" s="44" t="s">
        <v>201</v>
      </c>
      <c r="E59" s="42" t="s">
        <v>264</v>
      </c>
      <c r="F59" s="146">
        <v>4790000</v>
      </c>
      <c r="G59" s="146"/>
      <c r="H59" s="142"/>
      <c r="I59" s="143">
        <v>2870471.7903302698</v>
      </c>
      <c r="J59" s="42">
        <v>26259</v>
      </c>
      <c r="K59" s="42" t="s">
        <v>253</v>
      </c>
      <c r="L59" s="147"/>
      <c r="M59" s="147" t="s">
        <v>254</v>
      </c>
      <c r="N59" s="42" t="s">
        <v>301</v>
      </c>
      <c r="O59" s="128" t="s">
        <v>236</v>
      </c>
      <c r="P59" s="109">
        <v>8.7900000000000006E-2</v>
      </c>
      <c r="Q59" s="42"/>
    </row>
    <row r="60" spans="1:17" ht="13.5" x14ac:dyDescent="0.35">
      <c r="A60" s="42" t="s">
        <v>420</v>
      </c>
      <c r="B60" s="69" t="s">
        <v>421</v>
      </c>
      <c r="C60" s="149" t="s">
        <v>419</v>
      </c>
      <c r="D60" s="44" t="s">
        <v>201</v>
      </c>
      <c r="E60" s="42" t="s">
        <v>422</v>
      </c>
      <c r="F60" s="146">
        <v>2000000</v>
      </c>
      <c r="G60" s="146"/>
      <c r="H60" s="142"/>
      <c r="I60" s="143">
        <v>1022484.71162517</v>
      </c>
      <c r="J60" s="42">
        <v>26259</v>
      </c>
      <c r="K60" s="42" t="s">
        <v>340</v>
      </c>
      <c r="L60" s="147"/>
      <c r="M60" s="147" t="s">
        <v>346</v>
      </c>
      <c r="N60" s="42" t="s">
        <v>423</v>
      </c>
      <c r="O60" s="128" t="s">
        <v>236</v>
      </c>
      <c r="P60" s="109">
        <v>5.9499999999999997E-2</v>
      </c>
      <c r="Q60" s="42"/>
    </row>
    <row r="61" spans="1:17" ht="13.5" x14ac:dyDescent="0.35">
      <c r="A61" s="42" t="s">
        <v>424</v>
      </c>
      <c r="B61" s="69" t="s">
        <v>425</v>
      </c>
      <c r="C61" s="145" t="s">
        <v>426</v>
      </c>
      <c r="D61" s="44" t="s">
        <v>201</v>
      </c>
      <c r="E61" s="42" t="s">
        <v>427</v>
      </c>
      <c r="F61" s="146">
        <v>176000000</v>
      </c>
      <c r="G61" s="146">
        <v>176000000</v>
      </c>
      <c r="H61" s="150">
        <v>0</v>
      </c>
      <c r="I61" s="143">
        <v>169267385.64263901</v>
      </c>
      <c r="J61" s="42">
        <v>26729</v>
      </c>
      <c r="K61" s="42" t="s">
        <v>253</v>
      </c>
      <c r="L61" s="147"/>
      <c r="M61" s="147" t="s">
        <v>296</v>
      </c>
      <c r="N61" s="42" t="s">
        <v>428</v>
      </c>
      <c r="O61" s="128" t="s">
        <v>236</v>
      </c>
      <c r="P61" s="109">
        <v>0.1804</v>
      </c>
      <c r="Q61" s="42"/>
    </row>
    <row r="62" spans="1:17" ht="13.5" x14ac:dyDescent="0.35">
      <c r="A62" s="42" t="s">
        <v>429</v>
      </c>
      <c r="B62" s="42" t="s">
        <v>430</v>
      </c>
      <c r="C62" s="145" t="s">
        <v>431</v>
      </c>
      <c r="D62" s="44" t="s">
        <v>201</v>
      </c>
      <c r="E62" s="42" t="s">
        <v>264</v>
      </c>
      <c r="F62" s="146">
        <v>9340000</v>
      </c>
      <c r="G62" s="152"/>
      <c r="H62" s="142"/>
      <c r="I62" s="143">
        <v>7210593.7015099004</v>
      </c>
      <c r="J62" s="42">
        <v>26259</v>
      </c>
      <c r="K62" s="42" t="s">
        <v>253</v>
      </c>
      <c r="L62" s="147"/>
      <c r="M62" s="147" t="s">
        <v>254</v>
      </c>
      <c r="N62" s="42" t="s">
        <v>301</v>
      </c>
      <c r="O62" s="128" t="s">
        <v>236</v>
      </c>
      <c r="P62" s="109">
        <v>0.16650000000000001</v>
      </c>
      <c r="Q62" s="42"/>
    </row>
    <row r="63" spans="1:17" ht="13.5" x14ac:dyDescent="0.35">
      <c r="A63" s="42" t="s">
        <v>432</v>
      </c>
      <c r="B63" s="69" t="s">
        <v>433</v>
      </c>
      <c r="C63" s="145" t="s">
        <v>434</v>
      </c>
      <c r="D63" s="44" t="s">
        <v>201</v>
      </c>
      <c r="E63" s="42" t="s">
        <v>1001</v>
      </c>
      <c r="F63" s="146">
        <v>8158199.46</v>
      </c>
      <c r="G63" s="146"/>
      <c r="H63" s="142"/>
      <c r="I63" s="143">
        <v>6801738.8087820802</v>
      </c>
      <c r="J63" s="42">
        <v>26259</v>
      </c>
      <c r="K63" s="42" t="s">
        <v>253</v>
      </c>
      <c r="L63" s="147"/>
      <c r="M63" s="147" t="s">
        <v>254</v>
      </c>
      <c r="N63" s="42" t="s">
        <v>435</v>
      </c>
      <c r="O63" s="128" t="s">
        <v>236</v>
      </c>
      <c r="P63" s="109">
        <v>0.18870000000000001</v>
      </c>
      <c r="Q63" s="42"/>
    </row>
    <row r="64" spans="1:17" ht="13.5" x14ac:dyDescent="0.35">
      <c r="A64" s="42" t="s">
        <v>436</v>
      </c>
      <c r="B64" s="69" t="s">
        <v>437</v>
      </c>
      <c r="C64" s="145" t="s">
        <v>438</v>
      </c>
      <c r="D64" s="44" t="s">
        <v>201</v>
      </c>
      <c r="E64" s="42" t="s">
        <v>1006</v>
      </c>
      <c r="F64" s="146">
        <v>10700000</v>
      </c>
      <c r="G64" s="146"/>
      <c r="H64" s="142"/>
      <c r="I64" s="143">
        <v>9761817.9790851809</v>
      </c>
      <c r="J64" s="42">
        <v>26259</v>
      </c>
      <c r="K64" s="42" t="s">
        <v>241</v>
      </c>
      <c r="L64" s="147"/>
      <c r="M64" s="147" t="s">
        <v>242</v>
      </c>
      <c r="N64" s="42" t="s">
        <v>439</v>
      </c>
      <c r="O64" s="128" t="s">
        <v>236</v>
      </c>
      <c r="P64" s="109">
        <v>0.17100000000000001</v>
      </c>
      <c r="Q64" s="42"/>
    </row>
    <row r="65" spans="1:17" ht="13.5" x14ac:dyDescent="0.35">
      <c r="A65" s="42" t="s">
        <v>440</v>
      </c>
      <c r="B65" s="42" t="s">
        <v>441</v>
      </c>
      <c r="C65" s="145" t="s">
        <v>442</v>
      </c>
      <c r="D65" s="44" t="s">
        <v>201</v>
      </c>
      <c r="E65" s="42" t="s">
        <v>1007</v>
      </c>
      <c r="F65" s="146">
        <v>12248348</v>
      </c>
      <c r="G65" s="146"/>
      <c r="H65" s="142"/>
      <c r="I65" s="143">
        <v>10368177.014573099</v>
      </c>
      <c r="J65" s="42">
        <v>26259</v>
      </c>
      <c r="K65" s="42" t="s">
        <v>253</v>
      </c>
      <c r="L65" s="147"/>
      <c r="M65" s="147" t="s">
        <v>254</v>
      </c>
      <c r="N65" s="42" t="s">
        <v>443</v>
      </c>
      <c r="O65" s="128" t="s">
        <v>236</v>
      </c>
      <c r="P65" s="109">
        <v>8.5300000000000001E-2</v>
      </c>
      <c r="Q65" s="42"/>
    </row>
    <row r="66" spans="1:17" ht="13.5" x14ac:dyDescent="0.35">
      <c r="A66" s="42" t="s">
        <v>444</v>
      </c>
      <c r="B66" s="42" t="s">
        <v>445</v>
      </c>
      <c r="C66" s="145" t="s">
        <v>446</v>
      </c>
      <c r="D66" s="44" t="s">
        <v>201</v>
      </c>
      <c r="E66" s="42" t="s">
        <v>447</v>
      </c>
      <c r="F66" s="146">
        <v>6287841</v>
      </c>
      <c r="G66" s="146"/>
      <c r="H66" s="142"/>
      <c r="I66" s="143">
        <v>5322631.99018085</v>
      </c>
      <c r="J66" s="42">
        <v>26259</v>
      </c>
      <c r="K66" s="42" t="s">
        <v>253</v>
      </c>
      <c r="L66" s="147"/>
      <c r="M66" s="147" t="s">
        <v>254</v>
      </c>
      <c r="N66" s="42" t="s">
        <v>301</v>
      </c>
      <c r="O66" s="128" t="s">
        <v>236</v>
      </c>
      <c r="P66" s="109">
        <v>8.3199999999999996E-2</v>
      </c>
      <c r="Q66" s="42"/>
    </row>
    <row r="67" spans="1:17" ht="13.5" x14ac:dyDescent="0.35">
      <c r="A67" s="42" t="s">
        <v>448</v>
      </c>
      <c r="B67" s="69" t="s">
        <v>449</v>
      </c>
      <c r="C67" s="145" t="s">
        <v>450</v>
      </c>
      <c r="D67" s="44" t="s">
        <v>201</v>
      </c>
      <c r="E67" s="42" t="s">
        <v>1006</v>
      </c>
      <c r="F67" s="146">
        <v>14939145</v>
      </c>
      <c r="G67" s="146"/>
      <c r="H67" s="142"/>
      <c r="I67" s="143">
        <v>12963717.2533406</v>
      </c>
      <c r="J67" s="42">
        <v>26259</v>
      </c>
      <c r="K67" s="42" t="s">
        <v>233</v>
      </c>
      <c r="L67" s="147"/>
      <c r="M67" s="147" t="s">
        <v>234</v>
      </c>
      <c r="N67" s="42" t="s">
        <v>382</v>
      </c>
      <c r="O67" s="128" t="s">
        <v>236</v>
      </c>
      <c r="P67" s="109">
        <v>0.15740000000000001</v>
      </c>
      <c r="Q67" s="42"/>
    </row>
    <row r="68" spans="1:17" ht="15" customHeight="1" x14ac:dyDescent="0.35">
      <c r="A68" s="48" t="s">
        <v>451</v>
      </c>
      <c r="B68" s="48" t="s">
        <v>452</v>
      </c>
      <c r="C68" s="145" t="s">
        <v>453</v>
      </c>
      <c r="D68" s="44" t="s">
        <v>201</v>
      </c>
      <c r="E68" s="48" t="s">
        <v>282</v>
      </c>
      <c r="F68" s="152">
        <v>23323728.960000001</v>
      </c>
      <c r="G68" s="152">
        <f>19597796.8+2000000</f>
        <v>21597796.800000001</v>
      </c>
      <c r="H68" s="150">
        <v>370000</v>
      </c>
      <c r="I68" s="143">
        <v>21597796.800000001</v>
      </c>
      <c r="J68" s="48">
        <v>27219</v>
      </c>
      <c r="K68" s="42" t="s">
        <v>233</v>
      </c>
      <c r="L68" s="147"/>
      <c r="M68" s="147" t="s">
        <v>234</v>
      </c>
      <c r="N68" s="153">
        <v>49369</v>
      </c>
      <c r="O68" s="128" t="s">
        <v>236</v>
      </c>
      <c r="P68" s="154">
        <v>0.14630000000000001</v>
      </c>
      <c r="Q68" s="42"/>
    </row>
    <row r="69" spans="1:17" ht="13.5" x14ac:dyDescent="0.35">
      <c r="A69" s="42" t="s">
        <v>454</v>
      </c>
      <c r="B69" s="42" t="s">
        <v>455</v>
      </c>
      <c r="C69" s="145" t="s">
        <v>456</v>
      </c>
      <c r="D69" s="44" t="s">
        <v>201</v>
      </c>
      <c r="E69" s="42" t="s">
        <v>1000</v>
      </c>
      <c r="F69" s="146">
        <v>21046737.350000001</v>
      </c>
      <c r="G69" s="146"/>
      <c r="H69" s="142"/>
      <c r="I69" s="143">
        <v>18990114.024100099</v>
      </c>
      <c r="J69" s="42">
        <v>26259</v>
      </c>
      <c r="K69" s="42" t="s">
        <v>233</v>
      </c>
      <c r="L69" s="147"/>
      <c r="M69" s="147" t="s">
        <v>234</v>
      </c>
      <c r="N69" s="42" t="s">
        <v>235</v>
      </c>
      <c r="O69" s="128" t="s">
        <v>236</v>
      </c>
      <c r="P69" s="109">
        <v>0.13400000000000001</v>
      </c>
      <c r="Q69" s="42"/>
    </row>
    <row r="70" spans="1:17" ht="13.5" x14ac:dyDescent="0.35">
      <c r="A70" s="42" t="s">
        <v>457</v>
      </c>
      <c r="B70" s="69" t="s">
        <v>458</v>
      </c>
      <c r="C70" s="149" t="s">
        <v>459</v>
      </c>
      <c r="D70" s="44" t="s">
        <v>201</v>
      </c>
      <c r="E70" s="42" t="s">
        <v>264</v>
      </c>
      <c r="F70" s="146">
        <v>21052631.739999998</v>
      </c>
      <c r="G70" s="146"/>
      <c r="H70" s="142"/>
      <c r="I70" s="143">
        <v>14289900.500803599</v>
      </c>
      <c r="J70" s="42">
        <v>26259</v>
      </c>
      <c r="K70" s="42" t="s">
        <v>253</v>
      </c>
      <c r="L70" s="147"/>
      <c r="M70" s="147" t="s">
        <v>254</v>
      </c>
      <c r="N70" s="42" t="s">
        <v>301</v>
      </c>
      <c r="O70" s="128" t="s">
        <v>236</v>
      </c>
      <c r="P70" s="109">
        <v>0.18210000000000001</v>
      </c>
      <c r="Q70" s="42"/>
    </row>
    <row r="71" spans="1:17" ht="13.5" x14ac:dyDescent="0.35">
      <c r="A71" s="48" t="s">
        <v>460</v>
      </c>
      <c r="B71" s="90" t="s">
        <v>461</v>
      </c>
      <c r="C71" s="145" t="s">
        <v>462</v>
      </c>
      <c r="D71" s="44" t="s">
        <v>201</v>
      </c>
      <c r="E71" s="48" t="s">
        <v>259</v>
      </c>
      <c r="F71" s="152">
        <v>300000000</v>
      </c>
      <c r="G71" s="146">
        <f>5606039.47+14493869.04+12035115.36+3628418.43+8135188.7+7850496.84+6896632.36</f>
        <v>58645760.200000003</v>
      </c>
      <c r="H71" s="142">
        <f>F71-G71</f>
        <v>241354239.80000001</v>
      </c>
      <c r="I71" s="143">
        <v>58645760.199999899</v>
      </c>
      <c r="J71" s="48">
        <v>27219</v>
      </c>
      <c r="K71" s="42" t="s">
        <v>233</v>
      </c>
      <c r="L71" s="147"/>
      <c r="M71" s="155" t="s">
        <v>463</v>
      </c>
      <c r="N71" s="48" t="s">
        <v>464</v>
      </c>
      <c r="O71" s="128" t="s">
        <v>236</v>
      </c>
      <c r="P71" s="154">
        <v>4.3099999999999999E-2</v>
      </c>
      <c r="Q71" s="42"/>
    </row>
    <row r="72" spans="1:17" ht="13.5" x14ac:dyDescent="0.35">
      <c r="A72" s="42" t="s">
        <v>465</v>
      </c>
      <c r="B72" s="42" t="s">
        <v>466</v>
      </c>
      <c r="C72" s="149" t="s">
        <v>467</v>
      </c>
      <c r="D72" s="44" t="s">
        <v>201</v>
      </c>
      <c r="E72" s="42" t="s">
        <v>1007</v>
      </c>
      <c r="F72" s="146">
        <v>6000000</v>
      </c>
      <c r="G72" s="146"/>
      <c r="H72" s="142"/>
      <c r="I72" s="143">
        <v>5078975.7290049102</v>
      </c>
      <c r="J72" s="42">
        <v>26259</v>
      </c>
      <c r="K72" s="42" t="s">
        <v>253</v>
      </c>
      <c r="L72" s="147"/>
      <c r="M72" s="147" t="s">
        <v>254</v>
      </c>
      <c r="N72" s="42" t="s">
        <v>443</v>
      </c>
      <c r="O72" s="128" t="s">
        <v>236</v>
      </c>
      <c r="P72" s="109">
        <v>9.4200000000000006E-2</v>
      </c>
      <c r="Q72" s="42"/>
    </row>
    <row r="73" spans="1:17" ht="13.5" x14ac:dyDescent="0.35">
      <c r="A73" s="42" t="s">
        <v>468</v>
      </c>
      <c r="B73" s="42" t="s">
        <v>469</v>
      </c>
      <c r="C73" s="149" t="s">
        <v>470</v>
      </c>
      <c r="D73" s="44" t="s">
        <v>201</v>
      </c>
      <c r="E73" s="42" t="s">
        <v>240</v>
      </c>
      <c r="F73" s="146">
        <v>107299999.5</v>
      </c>
      <c r="G73" s="146"/>
      <c r="H73" s="142"/>
      <c r="I73" s="143">
        <v>102739768.08039901</v>
      </c>
      <c r="J73" s="42">
        <v>25786</v>
      </c>
      <c r="K73" s="48" t="s">
        <v>471</v>
      </c>
      <c r="L73" s="147"/>
      <c r="M73" s="147" t="s">
        <v>242</v>
      </c>
      <c r="N73" s="42" t="s">
        <v>243</v>
      </c>
      <c r="O73" s="128" t="s">
        <v>236</v>
      </c>
      <c r="P73" s="151">
        <v>0.1817</v>
      </c>
      <c r="Q73" s="42"/>
    </row>
    <row r="74" spans="1:17" ht="13.5" x14ac:dyDescent="0.35">
      <c r="A74" s="48" t="s">
        <v>472</v>
      </c>
      <c r="B74" s="42" t="s">
        <v>473</v>
      </c>
      <c r="C74" s="149" t="s">
        <v>470</v>
      </c>
      <c r="D74" s="44" t="s">
        <v>201</v>
      </c>
      <c r="E74" s="48" t="s">
        <v>474</v>
      </c>
      <c r="F74" s="152">
        <v>49324768.020000003</v>
      </c>
      <c r="G74" s="152">
        <f>18285714.29+6650000</f>
        <v>24935714.289999999</v>
      </c>
      <c r="H74" s="142">
        <f>F74-G74</f>
        <v>24389053.730000004</v>
      </c>
      <c r="I74" s="143">
        <v>24935714.289999999</v>
      </c>
      <c r="J74" s="48">
        <v>27219</v>
      </c>
      <c r="K74" s="42" t="s">
        <v>241</v>
      </c>
      <c r="L74" s="147"/>
      <c r="M74" s="147" t="s">
        <v>242</v>
      </c>
      <c r="N74" s="48" t="s">
        <v>475</v>
      </c>
      <c r="O74" s="128" t="s">
        <v>236</v>
      </c>
      <c r="P74" s="154">
        <v>9.2999999999999999E-2</v>
      </c>
      <c r="Q74" s="42"/>
    </row>
    <row r="75" spans="1:17" ht="13.5" x14ac:dyDescent="0.35">
      <c r="A75" s="156"/>
      <c r="B75" s="156"/>
      <c r="C75" s="156"/>
      <c r="D75" s="156"/>
      <c r="E75" s="156"/>
      <c r="F75" s="156"/>
      <c r="G75" s="156"/>
      <c r="H75" s="156"/>
      <c r="I75" s="156"/>
      <c r="J75" s="156"/>
      <c r="K75" s="156"/>
      <c r="L75" s="156"/>
      <c r="M75" s="156"/>
      <c r="N75" s="156"/>
      <c r="O75" s="157"/>
      <c r="P75" s="156"/>
      <c r="Q75" s="156"/>
    </row>
    <row r="76" spans="1:17" ht="14.25" x14ac:dyDescent="0.45">
      <c r="A76" s="118" t="s">
        <v>177</v>
      </c>
      <c r="B76" s="86"/>
      <c r="C76" s="86"/>
      <c r="D76" s="86"/>
      <c r="E76" s="86"/>
      <c r="F76" s="86"/>
      <c r="G76" s="86"/>
      <c r="H76" s="86"/>
      <c r="I76" s="86"/>
      <c r="J76" s="86"/>
      <c r="K76" s="86"/>
      <c r="L76" s="86"/>
      <c r="M76" s="86"/>
      <c r="N76" s="86"/>
      <c r="O76" s="86"/>
      <c r="P76" s="86"/>
      <c r="Q76" s="86"/>
    </row>
    <row r="77" spans="1:17" ht="14.25" x14ac:dyDescent="0.45">
      <c r="A77" s="118" t="s">
        <v>476</v>
      </c>
      <c r="B77" s="86"/>
      <c r="C77" s="86"/>
      <c r="D77" s="86"/>
      <c r="E77" s="86"/>
      <c r="F77" s="86"/>
      <c r="G77" s="86"/>
      <c r="H77" s="86"/>
      <c r="I77" s="86"/>
      <c r="J77" s="86"/>
      <c r="K77" s="86"/>
      <c r="L77" s="86"/>
      <c r="M77" s="86"/>
      <c r="N77" s="86"/>
      <c r="O77" s="86"/>
      <c r="P77" s="86"/>
      <c r="Q77" s="86"/>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7"/>
  <sheetViews>
    <sheetView tabSelected="1" zoomScale="90" zoomScaleNormal="90" workbookViewId="0">
      <selection activeCell="A79" sqref="A79"/>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6875" bestFit="1" customWidth="1"/>
    <col min="9" max="9" width="17.25" customWidth="1"/>
    <col min="10" max="10" width="18" customWidth="1"/>
    <col min="11" max="11" width="16.625" customWidth="1"/>
    <col min="13" max="13" width="13.25" customWidth="1"/>
    <col min="14" max="14" width="10.875" customWidth="1"/>
    <col min="15" max="15" width="9" customWidth="1"/>
    <col min="16" max="16" width="12.5" customWidth="1"/>
  </cols>
  <sheetData>
    <row r="1" spans="1:17" ht="39.4" x14ac:dyDescent="0.35">
      <c r="A1" s="8" t="s">
        <v>5</v>
      </c>
      <c r="B1" s="8" t="s">
        <v>6</v>
      </c>
      <c r="C1" s="158" t="s">
        <v>477</v>
      </c>
      <c r="D1" s="8" t="s">
        <v>7</v>
      </c>
      <c r="E1" s="8" t="s">
        <v>9</v>
      </c>
      <c r="F1" s="37" t="s">
        <v>10</v>
      </c>
      <c r="G1" s="37" t="s">
        <v>11</v>
      </c>
      <c r="H1" s="37" t="s">
        <v>12</v>
      </c>
      <c r="I1" s="9" t="str">
        <f>"Monto Total Amortizable "&amp;""&amp; TEXT(Totales!$A$2,"dd mmmm e")</f>
        <v>Monto Total Amortizable 31 octubre 2020</v>
      </c>
      <c r="J1" s="8" t="s">
        <v>478</v>
      </c>
      <c r="K1" s="8" t="s">
        <v>14</v>
      </c>
      <c r="L1" s="37" t="s">
        <v>15</v>
      </c>
      <c r="M1" s="8" t="s">
        <v>16</v>
      </c>
      <c r="N1" s="37" t="s">
        <v>17</v>
      </c>
      <c r="O1" s="37" t="s">
        <v>18</v>
      </c>
      <c r="P1" s="9" t="s">
        <v>180</v>
      </c>
      <c r="Q1" s="159"/>
    </row>
    <row r="2" spans="1:17" ht="17.649999999999999" x14ac:dyDescent="0.35">
      <c r="A2" s="160" t="s">
        <v>479</v>
      </c>
      <c r="B2" s="161"/>
      <c r="C2" s="161"/>
      <c r="D2" s="161"/>
      <c r="E2" s="161"/>
      <c r="F2" s="161"/>
      <c r="G2" s="161"/>
      <c r="H2" s="161"/>
      <c r="I2" s="161"/>
      <c r="J2" s="161"/>
      <c r="K2" s="161"/>
      <c r="L2" s="161"/>
      <c r="M2" s="161"/>
      <c r="N2" s="161"/>
      <c r="O2" s="161"/>
      <c r="P2" s="120"/>
      <c r="Q2" s="162"/>
    </row>
    <row r="3" spans="1:17" ht="13.5" x14ac:dyDescent="0.35">
      <c r="A3" s="97" t="s">
        <v>480</v>
      </c>
      <c r="B3" s="97" t="s">
        <v>481</v>
      </c>
      <c r="C3" s="141" t="s">
        <v>239</v>
      </c>
      <c r="D3" s="141" t="s">
        <v>482</v>
      </c>
      <c r="E3" s="97" t="s">
        <v>483</v>
      </c>
      <c r="F3" s="100">
        <v>30500000</v>
      </c>
      <c r="G3" s="100"/>
      <c r="H3" s="100"/>
      <c r="I3" s="101">
        <v>23953038.699999999</v>
      </c>
      <c r="J3" s="103" t="s">
        <v>484</v>
      </c>
      <c r="K3" s="163" t="s">
        <v>485</v>
      </c>
      <c r="L3" s="103"/>
      <c r="M3" s="103">
        <v>240</v>
      </c>
      <c r="N3" s="97" t="s">
        <v>412</v>
      </c>
      <c r="O3" s="164" t="s">
        <v>34</v>
      </c>
      <c r="P3" s="165">
        <v>0.5</v>
      </c>
      <c r="Q3" s="166"/>
    </row>
    <row r="4" spans="1:17" ht="13.5" x14ac:dyDescent="0.35">
      <c r="A4" s="167" t="s">
        <v>486</v>
      </c>
      <c r="B4" s="167" t="s">
        <v>487</v>
      </c>
      <c r="C4" s="168" t="s">
        <v>488</v>
      </c>
      <c r="D4" s="169" t="s">
        <v>482</v>
      </c>
      <c r="E4" s="167" t="s">
        <v>489</v>
      </c>
      <c r="F4" s="170">
        <v>158000000</v>
      </c>
      <c r="G4" s="100"/>
      <c r="H4" s="170"/>
      <c r="I4" s="101">
        <v>52287171</v>
      </c>
      <c r="J4" s="171" t="s">
        <v>490</v>
      </c>
      <c r="K4" s="163" t="s">
        <v>491</v>
      </c>
      <c r="L4" s="171"/>
      <c r="M4" s="171">
        <v>120</v>
      </c>
      <c r="N4" s="167" t="s">
        <v>492</v>
      </c>
      <c r="O4" s="172" t="s">
        <v>34</v>
      </c>
      <c r="P4" s="173">
        <v>0.4</v>
      </c>
      <c r="Q4" s="166"/>
    </row>
    <row r="5" spans="1:17" ht="13.5" x14ac:dyDescent="0.35">
      <c r="A5" s="167" t="s">
        <v>493</v>
      </c>
      <c r="B5" s="167" t="s">
        <v>494</v>
      </c>
      <c r="C5" s="168" t="s">
        <v>495</v>
      </c>
      <c r="D5" s="168" t="s">
        <v>496</v>
      </c>
      <c r="E5" s="167" t="s">
        <v>497</v>
      </c>
      <c r="F5" s="170">
        <v>1580701760</v>
      </c>
      <c r="G5" s="100"/>
      <c r="H5" s="170"/>
      <c r="I5" s="101">
        <v>966381687.49875295</v>
      </c>
      <c r="J5" s="174" t="s">
        <v>498</v>
      </c>
      <c r="K5" s="175" t="s">
        <v>499</v>
      </c>
      <c r="L5" s="171"/>
      <c r="M5" s="171">
        <v>212</v>
      </c>
      <c r="N5" s="167" t="s">
        <v>500</v>
      </c>
      <c r="O5" s="172" t="s">
        <v>34</v>
      </c>
      <c r="P5" s="173">
        <v>0.2</v>
      </c>
      <c r="Q5" s="166"/>
    </row>
    <row r="6" spans="1:17" ht="13.5" x14ac:dyDescent="0.35">
      <c r="A6" s="167" t="s">
        <v>501</v>
      </c>
      <c r="B6" s="167" t="s">
        <v>502</v>
      </c>
      <c r="C6" s="168" t="s">
        <v>495</v>
      </c>
      <c r="D6" s="169" t="s">
        <v>503</v>
      </c>
      <c r="E6" s="167" t="s">
        <v>504</v>
      </c>
      <c r="F6" s="170">
        <v>1100000000</v>
      </c>
      <c r="G6" s="100"/>
      <c r="H6" s="170"/>
      <c r="I6" s="101">
        <v>626388978.40999901</v>
      </c>
      <c r="J6" s="171" t="s">
        <v>505</v>
      </c>
      <c r="K6" s="175" t="s">
        <v>506</v>
      </c>
      <c r="L6" s="171"/>
      <c r="M6" s="171">
        <v>240</v>
      </c>
      <c r="N6" s="167" t="s">
        <v>507</v>
      </c>
      <c r="O6" s="172" t="s">
        <v>34</v>
      </c>
      <c r="P6" s="173">
        <v>0.16</v>
      </c>
      <c r="Q6" s="166"/>
    </row>
    <row r="7" spans="1:17" ht="13.5" x14ac:dyDescent="0.35">
      <c r="A7" s="167" t="s">
        <v>508</v>
      </c>
      <c r="B7" s="167" t="s">
        <v>509</v>
      </c>
      <c r="C7" s="168" t="s">
        <v>510</v>
      </c>
      <c r="D7" s="168" t="s">
        <v>511</v>
      </c>
      <c r="E7" s="167" t="s">
        <v>512</v>
      </c>
      <c r="F7" s="170">
        <v>8500000</v>
      </c>
      <c r="G7" s="170"/>
      <c r="H7" s="170"/>
      <c r="I7" s="101">
        <v>2294000</v>
      </c>
      <c r="J7" s="174" t="s">
        <v>513</v>
      </c>
      <c r="K7" s="163" t="s">
        <v>485</v>
      </c>
      <c r="L7" s="171"/>
      <c r="M7" s="171">
        <v>120</v>
      </c>
      <c r="N7" s="167" t="s">
        <v>514</v>
      </c>
      <c r="O7" s="172" t="s">
        <v>34</v>
      </c>
      <c r="P7" s="173">
        <v>0.25</v>
      </c>
      <c r="Q7" s="166"/>
    </row>
    <row r="8" spans="1:17" ht="13.5" x14ac:dyDescent="0.35">
      <c r="A8" s="167" t="s">
        <v>515</v>
      </c>
      <c r="B8" s="167" t="s">
        <v>516</v>
      </c>
      <c r="C8" s="168" t="s">
        <v>517</v>
      </c>
      <c r="D8" s="169" t="s">
        <v>518</v>
      </c>
      <c r="E8" s="167" t="s">
        <v>519</v>
      </c>
      <c r="F8" s="170">
        <v>32000000</v>
      </c>
      <c r="G8" s="170"/>
      <c r="H8" s="170"/>
      <c r="I8" s="101">
        <v>5333320</v>
      </c>
      <c r="J8" s="171" t="s">
        <v>520</v>
      </c>
      <c r="K8" s="163" t="s">
        <v>521</v>
      </c>
      <c r="L8" s="171"/>
      <c r="M8" s="171">
        <v>120</v>
      </c>
      <c r="N8" s="167" t="s">
        <v>369</v>
      </c>
      <c r="O8" s="172" t="s">
        <v>34</v>
      </c>
      <c r="P8" s="173">
        <v>0.5</v>
      </c>
      <c r="Q8" s="166"/>
    </row>
    <row r="9" spans="1:17" ht="13.5" x14ac:dyDescent="0.35">
      <c r="A9" s="167" t="s">
        <v>522</v>
      </c>
      <c r="B9" s="167" t="s">
        <v>523</v>
      </c>
      <c r="C9" s="168" t="s">
        <v>524</v>
      </c>
      <c r="D9" s="168" t="s">
        <v>525</v>
      </c>
      <c r="E9" s="167" t="s">
        <v>526</v>
      </c>
      <c r="F9" s="170">
        <v>953127062.03999996</v>
      </c>
      <c r="G9" s="170"/>
      <c r="H9" s="170"/>
      <c r="I9" s="101">
        <v>743023191.03999996</v>
      </c>
      <c r="J9" s="174" t="s">
        <v>527</v>
      </c>
      <c r="K9" s="163" t="s">
        <v>528</v>
      </c>
      <c r="L9" s="171"/>
      <c r="M9" s="171">
        <v>205</v>
      </c>
      <c r="N9" s="167" t="s">
        <v>529</v>
      </c>
      <c r="O9" s="172" t="s">
        <v>34</v>
      </c>
      <c r="P9" s="173">
        <v>0.9</v>
      </c>
      <c r="Q9" s="166"/>
    </row>
    <row r="10" spans="1:17" ht="13.5" x14ac:dyDescent="0.35">
      <c r="A10" s="167" t="s">
        <v>530</v>
      </c>
      <c r="B10" s="167" t="s">
        <v>531</v>
      </c>
      <c r="C10" s="176" t="s">
        <v>462</v>
      </c>
      <c r="D10" s="177" t="s">
        <v>503</v>
      </c>
      <c r="E10" s="178" t="s">
        <v>532</v>
      </c>
      <c r="F10" s="179">
        <v>1237000000</v>
      </c>
      <c r="G10" s="179"/>
      <c r="H10" s="179"/>
      <c r="I10" s="101">
        <v>908659530.71999896</v>
      </c>
      <c r="J10" s="180" t="s">
        <v>533</v>
      </c>
      <c r="K10" s="175" t="s">
        <v>534</v>
      </c>
      <c r="L10" s="180"/>
      <c r="M10" s="180">
        <v>180</v>
      </c>
      <c r="N10" s="178" t="s">
        <v>535</v>
      </c>
      <c r="O10" s="181" t="s">
        <v>34</v>
      </c>
      <c r="P10" s="182">
        <v>0.28000000000000003</v>
      </c>
      <c r="Q10" s="166"/>
    </row>
    <row r="11" spans="1:17" ht="13.5" x14ac:dyDescent="0.35">
      <c r="A11" s="167" t="s">
        <v>536</v>
      </c>
      <c r="B11" s="167" t="s">
        <v>537</v>
      </c>
      <c r="C11" s="168" t="s">
        <v>538</v>
      </c>
      <c r="D11" s="177" t="s">
        <v>201</v>
      </c>
      <c r="E11" s="178" t="s">
        <v>539</v>
      </c>
      <c r="F11" s="179">
        <v>5700000</v>
      </c>
      <c r="G11" s="179"/>
      <c r="H11" s="179"/>
      <c r="I11" s="179">
        <v>1997435.79999998</v>
      </c>
      <c r="J11" s="180" t="s">
        <v>540</v>
      </c>
      <c r="K11" s="163" t="s">
        <v>541</v>
      </c>
      <c r="L11" s="180"/>
      <c r="M11" s="180">
        <v>120</v>
      </c>
      <c r="N11" s="178" t="s">
        <v>542</v>
      </c>
      <c r="O11" s="181" t="s">
        <v>34</v>
      </c>
      <c r="P11" s="182">
        <v>0.16</v>
      </c>
      <c r="Q11" s="166"/>
    </row>
    <row r="12" spans="1:17" ht="13.5" x14ac:dyDescent="0.35">
      <c r="A12" s="167" t="s">
        <v>543</v>
      </c>
      <c r="B12" s="167" t="s">
        <v>544</v>
      </c>
      <c r="C12" s="169" t="s">
        <v>545</v>
      </c>
      <c r="D12" s="176" t="s">
        <v>201</v>
      </c>
      <c r="E12" s="178" t="s">
        <v>546</v>
      </c>
      <c r="F12" s="179">
        <v>20000000</v>
      </c>
      <c r="G12" s="179"/>
      <c r="H12" s="179"/>
      <c r="I12" s="179">
        <v>8888888.9499999695</v>
      </c>
      <c r="J12" s="183" t="s">
        <v>547</v>
      </c>
      <c r="K12" s="163" t="s">
        <v>548</v>
      </c>
      <c r="L12" s="180"/>
      <c r="M12" s="180">
        <v>120</v>
      </c>
      <c r="N12" s="178" t="s">
        <v>549</v>
      </c>
      <c r="O12" s="181" t="s">
        <v>34</v>
      </c>
      <c r="P12" s="182">
        <v>0.157</v>
      </c>
      <c r="Q12" s="166"/>
    </row>
    <row r="13" spans="1:17" ht="13.5" x14ac:dyDescent="0.35">
      <c r="A13" s="184" t="s">
        <v>550</v>
      </c>
      <c r="B13" s="167" t="s">
        <v>551</v>
      </c>
      <c r="C13" s="168" t="s">
        <v>552</v>
      </c>
      <c r="D13" s="177" t="s">
        <v>201</v>
      </c>
      <c r="E13" s="178" t="s">
        <v>553</v>
      </c>
      <c r="F13" s="179">
        <v>5000000</v>
      </c>
      <c r="G13" s="179"/>
      <c r="H13" s="179"/>
      <c r="I13" s="179">
        <v>874999.67000000598</v>
      </c>
      <c r="J13" s="180" t="s">
        <v>554</v>
      </c>
      <c r="K13" s="163" t="s">
        <v>555</v>
      </c>
      <c r="L13" s="180"/>
      <c r="M13" s="180">
        <v>120</v>
      </c>
      <c r="N13" s="178" t="s">
        <v>556</v>
      </c>
      <c r="O13" s="181" t="s">
        <v>34</v>
      </c>
      <c r="P13" s="182" t="s">
        <v>557</v>
      </c>
      <c r="Q13" s="166"/>
    </row>
    <row r="14" spans="1:17" ht="13.5" x14ac:dyDescent="0.35">
      <c r="A14" s="167" t="s">
        <v>558</v>
      </c>
      <c r="B14" s="167" t="s">
        <v>559</v>
      </c>
      <c r="C14" s="168" t="s">
        <v>560</v>
      </c>
      <c r="D14" s="176" t="s">
        <v>201</v>
      </c>
      <c r="E14" s="178" t="s">
        <v>561</v>
      </c>
      <c r="F14" s="179">
        <v>7000000</v>
      </c>
      <c r="G14" s="179"/>
      <c r="H14" s="179"/>
      <c r="I14" s="179">
        <v>675438.47000001697</v>
      </c>
      <c r="J14" s="183" t="s">
        <v>562</v>
      </c>
      <c r="K14" s="163" t="s">
        <v>563</v>
      </c>
      <c r="L14" s="180"/>
      <c r="M14" s="180">
        <v>120</v>
      </c>
      <c r="N14" s="178" t="s">
        <v>227</v>
      </c>
      <c r="O14" s="181" t="s">
        <v>34</v>
      </c>
      <c r="P14" s="182" t="s">
        <v>564</v>
      </c>
      <c r="Q14" s="166"/>
    </row>
    <row r="15" spans="1:17" ht="13.5" x14ac:dyDescent="0.35">
      <c r="A15" s="167" t="s">
        <v>565</v>
      </c>
      <c r="B15" s="167" t="s">
        <v>566</v>
      </c>
      <c r="C15" s="168" t="s">
        <v>560</v>
      </c>
      <c r="D15" s="177" t="s">
        <v>201</v>
      </c>
      <c r="E15" s="178" t="s">
        <v>567</v>
      </c>
      <c r="F15" s="179">
        <v>7500000</v>
      </c>
      <c r="G15" s="179"/>
      <c r="H15" s="179"/>
      <c r="I15" s="179">
        <v>3416666.34</v>
      </c>
      <c r="J15" s="180" t="s">
        <v>568</v>
      </c>
      <c r="K15" s="163" t="s">
        <v>569</v>
      </c>
      <c r="L15" s="180"/>
      <c r="M15" s="180">
        <v>180</v>
      </c>
      <c r="N15" s="178" t="s">
        <v>570</v>
      </c>
      <c r="O15" s="181" t="s">
        <v>34</v>
      </c>
      <c r="P15" s="182" t="s">
        <v>557</v>
      </c>
      <c r="Q15" s="166"/>
    </row>
    <row r="16" spans="1:17" ht="13.5" x14ac:dyDescent="0.35">
      <c r="A16" s="167" t="s">
        <v>571</v>
      </c>
      <c r="B16" s="167" t="s">
        <v>572</v>
      </c>
      <c r="C16" s="168" t="s">
        <v>573</v>
      </c>
      <c r="D16" s="177" t="s">
        <v>201</v>
      </c>
      <c r="E16" s="178" t="s">
        <v>574</v>
      </c>
      <c r="F16" s="179">
        <v>25000000</v>
      </c>
      <c r="G16" s="179"/>
      <c r="H16" s="179"/>
      <c r="I16" s="179">
        <v>14997025.949999901</v>
      </c>
      <c r="J16" s="180" t="s">
        <v>575</v>
      </c>
      <c r="K16" s="163" t="s">
        <v>576</v>
      </c>
      <c r="L16" s="180"/>
      <c r="M16" s="180">
        <v>180</v>
      </c>
      <c r="N16" s="178" t="s">
        <v>577</v>
      </c>
      <c r="O16" s="181" t="s">
        <v>34</v>
      </c>
      <c r="P16" s="182">
        <v>0.77400000000000002</v>
      </c>
      <c r="Q16" s="166"/>
    </row>
    <row r="17" spans="1:17" ht="13.5" x14ac:dyDescent="0.35">
      <c r="A17" s="167" t="s">
        <v>578</v>
      </c>
      <c r="B17" s="167" t="s">
        <v>579</v>
      </c>
      <c r="C17" s="168" t="s">
        <v>488</v>
      </c>
      <c r="D17" s="176" t="s">
        <v>201</v>
      </c>
      <c r="E17" s="178" t="s">
        <v>580</v>
      </c>
      <c r="F17" s="179">
        <v>60000000</v>
      </c>
      <c r="G17" s="179"/>
      <c r="H17" s="179"/>
      <c r="I17" s="179">
        <v>42025316.239999801</v>
      </c>
      <c r="J17" s="183" t="s">
        <v>581</v>
      </c>
      <c r="K17" s="175" t="s">
        <v>582</v>
      </c>
      <c r="L17" s="180"/>
      <c r="M17" s="180">
        <v>240</v>
      </c>
      <c r="N17" s="178" t="s">
        <v>249</v>
      </c>
      <c r="O17" s="181" t="s">
        <v>34</v>
      </c>
      <c r="P17" s="182">
        <v>0.35199999999999998</v>
      </c>
      <c r="Q17" s="166"/>
    </row>
    <row r="18" spans="1:17" ht="13.5" x14ac:dyDescent="0.35">
      <c r="A18" s="167" t="s">
        <v>583</v>
      </c>
      <c r="B18" s="167" t="s">
        <v>584</v>
      </c>
      <c r="C18" s="168" t="s">
        <v>585</v>
      </c>
      <c r="D18" s="177" t="s">
        <v>201</v>
      </c>
      <c r="E18" s="178" t="s">
        <v>586</v>
      </c>
      <c r="F18" s="179">
        <v>17000000</v>
      </c>
      <c r="G18" s="179"/>
      <c r="H18" s="179"/>
      <c r="I18" s="179">
        <v>7464721.2200000398</v>
      </c>
      <c r="J18" s="180" t="s">
        <v>587</v>
      </c>
      <c r="K18" s="163" t="s">
        <v>588</v>
      </c>
      <c r="L18" s="180"/>
      <c r="M18" s="180">
        <v>120</v>
      </c>
      <c r="N18" s="178" t="s">
        <v>589</v>
      </c>
      <c r="O18" s="181" t="s">
        <v>34</v>
      </c>
      <c r="P18" s="182">
        <v>0.39300000000000002</v>
      </c>
      <c r="Q18" s="166"/>
    </row>
    <row r="19" spans="1:17" ht="13.5" x14ac:dyDescent="0.35">
      <c r="A19" s="167" t="s">
        <v>590</v>
      </c>
      <c r="B19" s="167" t="s">
        <v>591</v>
      </c>
      <c r="C19" s="168" t="s">
        <v>592</v>
      </c>
      <c r="D19" s="176" t="s">
        <v>201</v>
      </c>
      <c r="E19" s="178" t="s">
        <v>593</v>
      </c>
      <c r="F19" s="179">
        <v>5400000</v>
      </c>
      <c r="G19" s="179"/>
      <c r="H19" s="179"/>
      <c r="I19" s="179">
        <v>1592381.74999999</v>
      </c>
      <c r="J19" s="183" t="s">
        <v>594</v>
      </c>
      <c r="K19" s="163" t="s">
        <v>595</v>
      </c>
      <c r="L19" s="180"/>
      <c r="M19" s="180">
        <v>120</v>
      </c>
      <c r="N19" s="178" t="s">
        <v>596</v>
      </c>
      <c r="O19" s="181" t="s">
        <v>34</v>
      </c>
      <c r="P19" s="182">
        <v>0.14899999999999999</v>
      </c>
      <c r="Q19" s="166"/>
    </row>
    <row r="20" spans="1:17" ht="13.5" x14ac:dyDescent="0.35">
      <c r="A20" s="167" t="s">
        <v>597</v>
      </c>
      <c r="B20" s="167" t="s">
        <v>598</v>
      </c>
      <c r="C20" s="168" t="s">
        <v>599</v>
      </c>
      <c r="D20" s="177" t="s">
        <v>201</v>
      </c>
      <c r="E20" s="178" t="s">
        <v>600</v>
      </c>
      <c r="F20" s="179">
        <v>10000000</v>
      </c>
      <c r="G20" s="179"/>
      <c r="H20" s="179"/>
      <c r="I20" s="179">
        <v>3247862.8900000099</v>
      </c>
      <c r="J20" s="180" t="s">
        <v>601</v>
      </c>
      <c r="K20" s="163" t="s">
        <v>588</v>
      </c>
      <c r="L20" s="180"/>
      <c r="M20" s="180">
        <v>120</v>
      </c>
      <c r="N20" s="178" t="s">
        <v>602</v>
      </c>
      <c r="O20" s="181" t="s">
        <v>34</v>
      </c>
      <c r="P20" s="182">
        <v>0.46700000000000003</v>
      </c>
      <c r="Q20" s="166"/>
    </row>
    <row r="21" spans="1:17" ht="13.5" x14ac:dyDescent="0.35">
      <c r="A21" s="167" t="s">
        <v>603</v>
      </c>
      <c r="B21" s="167" t="s">
        <v>604</v>
      </c>
      <c r="C21" s="169" t="s">
        <v>605</v>
      </c>
      <c r="D21" s="176" t="s">
        <v>201</v>
      </c>
      <c r="E21" s="178" t="s">
        <v>606</v>
      </c>
      <c r="F21" s="179">
        <v>5701488</v>
      </c>
      <c r="G21" s="179"/>
      <c r="H21" s="179"/>
      <c r="I21" s="179">
        <v>570148.79999999399</v>
      </c>
      <c r="J21" s="183" t="s">
        <v>607</v>
      </c>
      <c r="K21" s="163" t="s">
        <v>608</v>
      </c>
      <c r="L21" s="180"/>
      <c r="M21" s="180">
        <v>120</v>
      </c>
      <c r="N21" s="178" t="s">
        <v>609</v>
      </c>
      <c r="O21" s="181" t="s">
        <v>34</v>
      </c>
      <c r="P21" s="182" t="s">
        <v>564</v>
      </c>
      <c r="Q21" s="166"/>
    </row>
    <row r="22" spans="1:17" ht="13.5" x14ac:dyDescent="0.35">
      <c r="A22" s="167" t="s">
        <v>610</v>
      </c>
      <c r="B22" s="167" t="s">
        <v>611</v>
      </c>
      <c r="C22" s="168" t="s">
        <v>612</v>
      </c>
      <c r="D22" s="177" t="s">
        <v>201</v>
      </c>
      <c r="E22" s="178" t="s">
        <v>561</v>
      </c>
      <c r="F22" s="179">
        <v>20000000</v>
      </c>
      <c r="G22" s="179"/>
      <c r="H22" s="179"/>
      <c r="I22" s="179">
        <v>360360.38000001298</v>
      </c>
      <c r="J22" s="180" t="s">
        <v>613</v>
      </c>
      <c r="K22" s="163" t="s">
        <v>614</v>
      </c>
      <c r="L22" s="180"/>
      <c r="M22" s="180">
        <v>120</v>
      </c>
      <c r="N22" s="178" t="s">
        <v>609</v>
      </c>
      <c r="O22" s="181" t="s">
        <v>34</v>
      </c>
      <c r="P22" s="182" t="s">
        <v>564</v>
      </c>
      <c r="Q22" s="166"/>
    </row>
    <row r="23" spans="1:17" ht="13.5" x14ac:dyDescent="0.35">
      <c r="A23" s="167" t="s">
        <v>615</v>
      </c>
      <c r="B23" s="167" t="s">
        <v>616</v>
      </c>
      <c r="C23" s="168" t="s">
        <v>222</v>
      </c>
      <c r="D23" s="176" t="s">
        <v>201</v>
      </c>
      <c r="E23" s="178" t="s">
        <v>617</v>
      </c>
      <c r="F23" s="179">
        <v>13600000</v>
      </c>
      <c r="G23" s="179"/>
      <c r="H23" s="179"/>
      <c r="I23" s="179">
        <v>8298304.9599999897</v>
      </c>
      <c r="J23" s="183" t="s">
        <v>618</v>
      </c>
      <c r="K23" s="163" t="s">
        <v>619</v>
      </c>
      <c r="L23" s="180"/>
      <c r="M23" s="180">
        <v>180</v>
      </c>
      <c r="N23" s="178" t="s">
        <v>620</v>
      </c>
      <c r="O23" s="181" t="s">
        <v>34</v>
      </c>
      <c r="P23" s="182">
        <v>0.35599999999999998</v>
      </c>
      <c r="Q23" s="166"/>
    </row>
    <row r="24" spans="1:17" ht="13.5" x14ac:dyDescent="0.35">
      <c r="A24" s="167" t="s">
        <v>621</v>
      </c>
      <c r="B24" s="185" t="s">
        <v>622</v>
      </c>
      <c r="C24" s="168" t="s">
        <v>623</v>
      </c>
      <c r="D24" s="177" t="s">
        <v>201</v>
      </c>
      <c r="E24" s="178" t="s">
        <v>624</v>
      </c>
      <c r="F24" s="179">
        <v>60000000</v>
      </c>
      <c r="G24" s="179"/>
      <c r="H24" s="179"/>
      <c r="I24" s="179">
        <v>30357142.620000001</v>
      </c>
      <c r="J24" s="180" t="s">
        <v>625</v>
      </c>
      <c r="K24" s="163" t="s">
        <v>626</v>
      </c>
      <c r="L24" s="180"/>
      <c r="M24" s="180">
        <v>180</v>
      </c>
      <c r="N24" s="178" t="s">
        <v>627</v>
      </c>
      <c r="O24" s="181" t="s">
        <v>34</v>
      </c>
      <c r="P24" s="182" t="s">
        <v>557</v>
      </c>
      <c r="Q24" s="166"/>
    </row>
    <row r="25" spans="1:17" ht="13.5" x14ac:dyDescent="0.35">
      <c r="A25" s="167" t="s">
        <v>628</v>
      </c>
      <c r="B25" s="167" t="s">
        <v>629</v>
      </c>
      <c r="C25" s="168" t="s">
        <v>630</v>
      </c>
      <c r="D25" s="177" t="s">
        <v>201</v>
      </c>
      <c r="E25" s="178" t="s">
        <v>631</v>
      </c>
      <c r="F25" s="179">
        <v>17700000</v>
      </c>
      <c r="G25" s="179"/>
      <c r="H25" s="179"/>
      <c r="I25" s="179">
        <v>7500000</v>
      </c>
      <c r="J25" s="180" t="s">
        <v>632</v>
      </c>
      <c r="K25" s="163" t="s">
        <v>633</v>
      </c>
      <c r="L25" s="180"/>
      <c r="M25" s="180">
        <v>120</v>
      </c>
      <c r="N25" s="178" t="s">
        <v>634</v>
      </c>
      <c r="O25" s="181" t="s">
        <v>34</v>
      </c>
      <c r="P25" s="182">
        <v>0.16600000000000001</v>
      </c>
      <c r="Q25" s="166"/>
    </row>
    <row r="26" spans="1:17" ht="13.5" x14ac:dyDescent="0.35">
      <c r="A26" s="167" t="s">
        <v>635</v>
      </c>
      <c r="B26" s="167" t="s">
        <v>636</v>
      </c>
      <c r="C26" s="168" t="s">
        <v>359</v>
      </c>
      <c r="D26" s="176" t="s">
        <v>201</v>
      </c>
      <c r="E26" s="178" t="s">
        <v>637</v>
      </c>
      <c r="F26" s="179">
        <v>8000000</v>
      </c>
      <c r="G26" s="179"/>
      <c r="H26" s="179"/>
      <c r="I26" s="179">
        <v>1526012.20000003</v>
      </c>
      <c r="J26" s="183" t="s">
        <v>638</v>
      </c>
      <c r="K26" s="163" t="s">
        <v>639</v>
      </c>
      <c r="L26" s="180"/>
      <c r="M26" s="180">
        <v>180</v>
      </c>
      <c r="N26" s="178" t="s">
        <v>640</v>
      </c>
      <c r="O26" s="181" t="s">
        <v>34</v>
      </c>
      <c r="P26" s="182" t="s">
        <v>564</v>
      </c>
      <c r="Q26" s="166"/>
    </row>
    <row r="27" spans="1:17" ht="13.5" x14ac:dyDescent="0.35">
      <c r="A27" s="167" t="s">
        <v>641</v>
      </c>
      <c r="B27" s="167" t="s">
        <v>642</v>
      </c>
      <c r="C27" s="168" t="s">
        <v>643</v>
      </c>
      <c r="D27" s="177" t="s">
        <v>201</v>
      </c>
      <c r="E27" s="178" t="s">
        <v>644</v>
      </c>
      <c r="F27" s="179">
        <v>13000000</v>
      </c>
      <c r="G27" s="179"/>
      <c r="H27" s="179"/>
      <c r="I27" s="179">
        <v>3984283.1200000499</v>
      </c>
      <c r="J27" s="180" t="s">
        <v>645</v>
      </c>
      <c r="K27" s="163" t="s">
        <v>646</v>
      </c>
      <c r="L27" s="180"/>
      <c r="M27" s="180">
        <v>180</v>
      </c>
      <c r="N27" s="178" t="s">
        <v>589</v>
      </c>
      <c r="O27" s="181" t="s">
        <v>34</v>
      </c>
      <c r="P27" s="182" t="s">
        <v>564</v>
      </c>
      <c r="Q27" s="166"/>
    </row>
    <row r="28" spans="1:17" ht="13.5" x14ac:dyDescent="0.35">
      <c r="A28" s="167" t="s">
        <v>647</v>
      </c>
      <c r="B28" s="167" t="s">
        <v>648</v>
      </c>
      <c r="C28" s="168" t="s">
        <v>643</v>
      </c>
      <c r="D28" s="176" t="s">
        <v>201</v>
      </c>
      <c r="E28" s="178" t="s">
        <v>649</v>
      </c>
      <c r="F28" s="179">
        <v>5000000</v>
      </c>
      <c r="G28" s="179"/>
      <c r="H28" s="179"/>
      <c r="I28" s="179">
        <v>299145.59999999602</v>
      </c>
      <c r="J28" s="183" t="s">
        <v>650</v>
      </c>
      <c r="K28" s="163" t="s">
        <v>651</v>
      </c>
      <c r="L28" s="180"/>
      <c r="M28" s="180">
        <v>120</v>
      </c>
      <c r="N28" s="178" t="s">
        <v>652</v>
      </c>
      <c r="O28" s="181" t="s">
        <v>34</v>
      </c>
      <c r="P28" s="182" t="s">
        <v>564</v>
      </c>
      <c r="Q28" s="166"/>
    </row>
    <row r="29" spans="1:17" ht="13.5" x14ac:dyDescent="0.35">
      <c r="A29" s="167" t="s">
        <v>653</v>
      </c>
      <c r="B29" s="167" t="s">
        <v>654</v>
      </c>
      <c r="C29" s="168" t="s">
        <v>655</v>
      </c>
      <c r="D29" s="177" t="s">
        <v>201</v>
      </c>
      <c r="E29" s="178" t="s">
        <v>656</v>
      </c>
      <c r="F29" s="179">
        <v>5900000</v>
      </c>
      <c r="G29" s="179"/>
      <c r="H29" s="179"/>
      <c r="I29" s="179">
        <v>2458333.31</v>
      </c>
      <c r="J29" s="180" t="s">
        <v>657</v>
      </c>
      <c r="K29" s="163" t="s">
        <v>658</v>
      </c>
      <c r="L29" s="180"/>
      <c r="M29" s="180">
        <v>108</v>
      </c>
      <c r="N29" s="178" t="s">
        <v>659</v>
      </c>
      <c r="O29" s="181" t="s">
        <v>34</v>
      </c>
      <c r="P29" s="182">
        <v>0.16700000000000001</v>
      </c>
      <c r="Q29" s="166"/>
    </row>
    <row r="30" spans="1:17" ht="13.5" x14ac:dyDescent="0.35">
      <c r="A30" s="167" t="s">
        <v>660</v>
      </c>
      <c r="B30" s="167" t="s">
        <v>661</v>
      </c>
      <c r="C30" s="168" t="s">
        <v>662</v>
      </c>
      <c r="D30" s="177" t="s">
        <v>201</v>
      </c>
      <c r="E30" s="178" t="s">
        <v>663</v>
      </c>
      <c r="F30" s="179">
        <v>5000000</v>
      </c>
      <c r="G30" s="179"/>
      <c r="H30" s="179"/>
      <c r="I30" s="179">
        <v>384615.67999999598</v>
      </c>
      <c r="J30" s="180" t="s">
        <v>664</v>
      </c>
      <c r="K30" s="163" t="s">
        <v>665</v>
      </c>
      <c r="L30" s="180"/>
      <c r="M30" s="180">
        <v>120</v>
      </c>
      <c r="N30" s="178" t="s">
        <v>666</v>
      </c>
      <c r="O30" s="181" t="s">
        <v>34</v>
      </c>
      <c r="P30" s="182" t="s">
        <v>564</v>
      </c>
      <c r="Q30" s="166"/>
    </row>
    <row r="31" spans="1:17" ht="13.5" x14ac:dyDescent="0.35">
      <c r="A31" s="167" t="s">
        <v>667</v>
      </c>
      <c r="B31" s="167" t="s">
        <v>584</v>
      </c>
      <c r="C31" s="168" t="s">
        <v>662</v>
      </c>
      <c r="D31" s="176" t="s">
        <v>201</v>
      </c>
      <c r="E31" s="178" t="s">
        <v>668</v>
      </c>
      <c r="F31" s="179">
        <v>6000000</v>
      </c>
      <c r="G31" s="179"/>
      <c r="H31" s="179"/>
      <c r="I31" s="179">
        <v>2796610.02</v>
      </c>
      <c r="J31" s="183" t="s">
        <v>669</v>
      </c>
      <c r="K31" s="163" t="s">
        <v>670</v>
      </c>
      <c r="L31" s="180"/>
      <c r="M31" s="180">
        <v>120</v>
      </c>
      <c r="N31" s="178" t="s">
        <v>671</v>
      </c>
      <c r="O31" s="181" t="s">
        <v>34</v>
      </c>
      <c r="P31" s="182">
        <v>0.114</v>
      </c>
      <c r="Q31" s="166"/>
    </row>
    <row r="32" spans="1:17" ht="13.5" x14ac:dyDescent="0.35">
      <c r="A32" s="184" t="s">
        <v>672</v>
      </c>
      <c r="B32" s="167" t="s">
        <v>673</v>
      </c>
      <c r="C32" s="168" t="s">
        <v>674</v>
      </c>
      <c r="D32" s="177" t="s">
        <v>201</v>
      </c>
      <c r="E32" s="178" t="s">
        <v>139</v>
      </c>
      <c r="F32" s="179">
        <v>4100000</v>
      </c>
      <c r="G32" s="179"/>
      <c r="H32" s="179"/>
      <c r="I32" s="179">
        <v>751666.34000000602</v>
      </c>
      <c r="J32" s="180" t="s">
        <v>675</v>
      </c>
      <c r="K32" s="163" t="s">
        <v>676</v>
      </c>
      <c r="L32" s="180"/>
      <c r="M32" s="180">
        <v>120</v>
      </c>
      <c r="N32" s="178" t="s">
        <v>514</v>
      </c>
      <c r="O32" s="181" t="s">
        <v>34</v>
      </c>
      <c r="P32" s="182" t="s">
        <v>557</v>
      </c>
      <c r="Q32" s="166"/>
    </row>
    <row r="33" spans="1:17" ht="13.5" x14ac:dyDescent="0.35">
      <c r="A33" s="167" t="s">
        <v>677</v>
      </c>
      <c r="B33" s="167" t="s">
        <v>678</v>
      </c>
      <c r="C33" s="168" t="s">
        <v>679</v>
      </c>
      <c r="D33" s="176" t="s">
        <v>201</v>
      </c>
      <c r="E33" s="178" t="s">
        <v>680</v>
      </c>
      <c r="F33" s="179">
        <v>19400000</v>
      </c>
      <c r="G33" s="179"/>
      <c r="H33" s="179"/>
      <c r="I33" s="179">
        <v>10896759.8799999</v>
      </c>
      <c r="J33" s="183" t="s">
        <v>681</v>
      </c>
      <c r="K33" s="163" t="s">
        <v>682</v>
      </c>
      <c r="L33" s="180"/>
      <c r="M33" s="180">
        <v>180</v>
      </c>
      <c r="N33" s="178" t="s">
        <v>683</v>
      </c>
      <c r="O33" s="181" t="s">
        <v>34</v>
      </c>
      <c r="P33" s="182">
        <v>0.9</v>
      </c>
      <c r="Q33" s="166"/>
    </row>
    <row r="34" spans="1:17" ht="13.5" x14ac:dyDescent="0.35">
      <c r="A34" s="167" t="s">
        <v>684</v>
      </c>
      <c r="B34" s="167" t="s">
        <v>685</v>
      </c>
      <c r="C34" s="168" t="s">
        <v>679</v>
      </c>
      <c r="D34" s="177" t="s">
        <v>201</v>
      </c>
      <c r="E34" s="178" t="s">
        <v>686</v>
      </c>
      <c r="F34" s="179">
        <v>1522348.62</v>
      </c>
      <c r="G34" s="179"/>
      <c r="H34" s="179"/>
      <c r="I34" s="179">
        <v>25698.840000000298</v>
      </c>
      <c r="J34" s="180" t="s">
        <v>687</v>
      </c>
      <c r="K34" s="163" t="s">
        <v>688</v>
      </c>
      <c r="L34" s="180"/>
      <c r="M34" s="180">
        <v>60</v>
      </c>
      <c r="N34" s="178" t="s">
        <v>689</v>
      </c>
      <c r="O34" s="181" t="s">
        <v>34</v>
      </c>
      <c r="P34" s="182">
        <v>6.5000000000000002E-2</v>
      </c>
      <c r="Q34" s="166"/>
    </row>
    <row r="35" spans="1:17" ht="13.5" x14ac:dyDescent="0.35">
      <c r="A35" s="167" t="s">
        <v>690</v>
      </c>
      <c r="B35" s="167" t="s">
        <v>691</v>
      </c>
      <c r="C35" s="168" t="s">
        <v>692</v>
      </c>
      <c r="D35" s="176" t="s">
        <v>201</v>
      </c>
      <c r="E35" s="178" t="s">
        <v>693</v>
      </c>
      <c r="F35" s="179">
        <v>5700000</v>
      </c>
      <c r="G35" s="179"/>
      <c r="H35" s="179"/>
      <c r="I35" s="179">
        <v>1845106.28999999</v>
      </c>
      <c r="J35" s="183" t="s">
        <v>694</v>
      </c>
      <c r="K35" s="163" t="s">
        <v>695</v>
      </c>
      <c r="L35" s="180"/>
      <c r="M35" s="180">
        <v>120</v>
      </c>
      <c r="N35" s="178" t="s">
        <v>634</v>
      </c>
      <c r="O35" s="181" t="s">
        <v>34</v>
      </c>
      <c r="P35" s="182">
        <v>0.16700000000000001</v>
      </c>
      <c r="Q35" s="166"/>
    </row>
    <row r="36" spans="1:17" ht="13.5" x14ac:dyDescent="0.35">
      <c r="A36" s="167" t="s">
        <v>696</v>
      </c>
      <c r="B36" s="167" t="s">
        <v>697</v>
      </c>
      <c r="C36" s="169" t="s">
        <v>698</v>
      </c>
      <c r="D36" s="177" t="s">
        <v>201</v>
      </c>
      <c r="E36" s="178" t="s">
        <v>699</v>
      </c>
      <c r="F36" s="179">
        <v>5620844</v>
      </c>
      <c r="G36" s="179"/>
      <c r="H36" s="179"/>
      <c r="I36" s="179">
        <v>2837677.7199999802</v>
      </c>
      <c r="J36" s="180" t="s">
        <v>700</v>
      </c>
      <c r="K36" s="163" t="s">
        <v>695</v>
      </c>
      <c r="L36" s="180"/>
      <c r="M36" s="180">
        <v>240</v>
      </c>
      <c r="N36" s="178" t="s">
        <v>701</v>
      </c>
      <c r="O36" s="181" t="s">
        <v>34</v>
      </c>
      <c r="P36" s="182" t="s">
        <v>564</v>
      </c>
      <c r="Q36" s="166"/>
    </row>
    <row r="37" spans="1:17" ht="13.5" x14ac:dyDescent="0.35">
      <c r="A37" s="167" t="s">
        <v>702</v>
      </c>
      <c r="B37" s="167" t="s">
        <v>703</v>
      </c>
      <c r="C37" s="169" t="s">
        <v>698</v>
      </c>
      <c r="D37" s="176" t="s">
        <v>201</v>
      </c>
      <c r="E37" s="178" t="s">
        <v>704</v>
      </c>
      <c r="F37" s="179">
        <v>5000000</v>
      </c>
      <c r="G37" s="179"/>
      <c r="H37" s="179"/>
      <c r="I37" s="179">
        <v>666666.320000006</v>
      </c>
      <c r="J37" s="183" t="s">
        <v>705</v>
      </c>
      <c r="K37" s="163" t="s">
        <v>706</v>
      </c>
      <c r="L37" s="180"/>
      <c r="M37" s="180">
        <v>120</v>
      </c>
      <c r="N37" s="178" t="s">
        <v>707</v>
      </c>
      <c r="O37" s="181" t="s">
        <v>34</v>
      </c>
      <c r="P37" s="182" t="s">
        <v>564</v>
      </c>
      <c r="Q37" s="166"/>
    </row>
    <row r="38" spans="1:17" ht="13.5" x14ac:dyDescent="0.35">
      <c r="A38" s="184" t="s">
        <v>708</v>
      </c>
      <c r="B38" s="167" t="s">
        <v>709</v>
      </c>
      <c r="C38" s="169" t="s">
        <v>698</v>
      </c>
      <c r="D38" s="177" t="s">
        <v>201</v>
      </c>
      <c r="E38" s="178" t="s">
        <v>710</v>
      </c>
      <c r="F38" s="179">
        <v>6700000</v>
      </c>
      <c r="G38" s="179"/>
      <c r="H38" s="179"/>
      <c r="I38" s="179">
        <v>1060833.6699999899</v>
      </c>
      <c r="J38" s="180" t="s">
        <v>711</v>
      </c>
      <c r="K38" s="163" t="s">
        <v>712</v>
      </c>
      <c r="L38" s="180"/>
      <c r="M38" s="180">
        <v>120</v>
      </c>
      <c r="N38" s="178" t="s">
        <v>713</v>
      </c>
      <c r="O38" s="181" t="s">
        <v>34</v>
      </c>
      <c r="P38" s="182" t="s">
        <v>564</v>
      </c>
      <c r="Q38" s="166"/>
    </row>
    <row r="39" spans="1:17" ht="13.5" x14ac:dyDescent="0.35">
      <c r="A39" s="167" t="s">
        <v>714</v>
      </c>
      <c r="B39" s="167" t="s">
        <v>715</v>
      </c>
      <c r="C39" s="169" t="s">
        <v>716</v>
      </c>
      <c r="D39" s="176" t="s">
        <v>201</v>
      </c>
      <c r="E39" s="178" t="s">
        <v>717</v>
      </c>
      <c r="F39" s="179">
        <v>13600000</v>
      </c>
      <c r="G39" s="179"/>
      <c r="H39" s="179"/>
      <c r="I39" s="179">
        <v>4428444.71</v>
      </c>
      <c r="J39" s="183" t="s">
        <v>718</v>
      </c>
      <c r="K39" s="163" t="s">
        <v>719</v>
      </c>
      <c r="L39" s="180"/>
      <c r="M39" s="180">
        <v>180</v>
      </c>
      <c r="N39" s="178" t="s">
        <v>589</v>
      </c>
      <c r="O39" s="181" t="s">
        <v>34</v>
      </c>
      <c r="P39" s="182" t="s">
        <v>564</v>
      </c>
      <c r="Q39" s="166"/>
    </row>
    <row r="40" spans="1:17" ht="13.5" x14ac:dyDescent="0.35">
      <c r="A40" s="167" t="s">
        <v>720</v>
      </c>
      <c r="B40" s="167" t="s">
        <v>721</v>
      </c>
      <c r="C40" s="168" t="s">
        <v>716</v>
      </c>
      <c r="D40" s="177" t="s">
        <v>201</v>
      </c>
      <c r="E40" s="178" t="s">
        <v>722</v>
      </c>
      <c r="F40" s="179">
        <v>6436800</v>
      </c>
      <c r="G40" s="179"/>
      <c r="H40" s="179"/>
      <c r="I40" s="179">
        <v>2038320</v>
      </c>
      <c r="J40" s="180" t="s">
        <v>723</v>
      </c>
      <c r="K40" s="163" t="s">
        <v>563</v>
      </c>
      <c r="L40" s="180"/>
      <c r="M40" s="180">
        <v>120</v>
      </c>
      <c r="N40" s="178" t="s">
        <v>602</v>
      </c>
      <c r="O40" s="181" t="s">
        <v>34</v>
      </c>
      <c r="P40" s="182">
        <v>0.16600000000000001</v>
      </c>
      <c r="Q40" s="166"/>
    </row>
    <row r="41" spans="1:17" ht="13.5" x14ac:dyDescent="0.35">
      <c r="A41" s="167" t="s">
        <v>724</v>
      </c>
      <c r="B41" s="167" t="s">
        <v>725</v>
      </c>
      <c r="C41" s="168" t="s">
        <v>387</v>
      </c>
      <c r="D41" s="176" t="s">
        <v>201</v>
      </c>
      <c r="E41" s="178" t="s">
        <v>726</v>
      </c>
      <c r="F41" s="179">
        <v>10000000</v>
      </c>
      <c r="G41" s="179"/>
      <c r="H41" s="179"/>
      <c r="I41" s="179">
        <v>1222221.52000001</v>
      </c>
      <c r="J41" s="183" t="s">
        <v>727</v>
      </c>
      <c r="K41" s="163" t="s">
        <v>728</v>
      </c>
      <c r="L41" s="180"/>
      <c r="M41" s="180">
        <v>180</v>
      </c>
      <c r="N41" s="178" t="s">
        <v>514</v>
      </c>
      <c r="O41" s="181" t="s">
        <v>34</v>
      </c>
      <c r="P41" s="182" t="s">
        <v>564</v>
      </c>
      <c r="Q41" s="166"/>
    </row>
    <row r="42" spans="1:17" ht="13.5" x14ac:dyDescent="0.35">
      <c r="A42" s="167" t="s">
        <v>729</v>
      </c>
      <c r="B42" s="167" t="s">
        <v>730</v>
      </c>
      <c r="C42" s="168" t="s">
        <v>731</v>
      </c>
      <c r="D42" s="176" t="s">
        <v>201</v>
      </c>
      <c r="E42" s="178" t="s">
        <v>732</v>
      </c>
      <c r="F42" s="179">
        <v>6000000</v>
      </c>
      <c r="G42" s="179"/>
      <c r="H42" s="179"/>
      <c r="I42" s="179">
        <v>1150000</v>
      </c>
      <c r="J42" s="183" t="s">
        <v>733</v>
      </c>
      <c r="K42" s="163" t="s">
        <v>734</v>
      </c>
      <c r="L42" s="180"/>
      <c r="M42" s="180">
        <v>120</v>
      </c>
      <c r="N42" s="178" t="s">
        <v>735</v>
      </c>
      <c r="O42" s="181" t="s">
        <v>34</v>
      </c>
      <c r="P42" s="182" t="s">
        <v>557</v>
      </c>
      <c r="Q42" s="166"/>
    </row>
    <row r="43" spans="1:17" ht="13.5" x14ac:dyDescent="0.35">
      <c r="A43" s="167" t="s">
        <v>736</v>
      </c>
      <c r="B43" s="167" t="s">
        <v>737</v>
      </c>
      <c r="C43" s="168" t="s">
        <v>731</v>
      </c>
      <c r="D43" s="177" t="s">
        <v>201</v>
      </c>
      <c r="E43" s="178" t="s">
        <v>738</v>
      </c>
      <c r="F43" s="179">
        <v>10492789.380000001</v>
      </c>
      <c r="G43" s="179"/>
      <c r="H43" s="179"/>
      <c r="I43" s="179">
        <v>5481961.5400000298</v>
      </c>
      <c r="J43" s="180" t="s">
        <v>739</v>
      </c>
      <c r="K43" s="163" t="s">
        <v>740</v>
      </c>
      <c r="L43" s="180"/>
      <c r="M43" s="180">
        <v>180</v>
      </c>
      <c r="N43" s="178" t="s">
        <v>304</v>
      </c>
      <c r="O43" s="181" t="s">
        <v>34</v>
      </c>
      <c r="P43" s="182">
        <v>0.29499999999999998</v>
      </c>
      <c r="Q43" s="166"/>
    </row>
    <row r="44" spans="1:17" ht="13.5" x14ac:dyDescent="0.35">
      <c r="A44" s="167" t="s">
        <v>741</v>
      </c>
      <c r="B44" s="167" t="s">
        <v>742</v>
      </c>
      <c r="C44" s="168" t="s">
        <v>743</v>
      </c>
      <c r="D44" s="177" t="s">
        <v>201</v>
      </c>
      <c r="E44" s="178" t="s">
        <v>744</v>
      </c>
      <c r="F44" s="179">
        <v>1895734</v>
      </c>
      <c r="G44" s="179"/>
      <c r="H44" s="179"/>
      <c r="I44" s="179">
        <v>470572.48000000301</v>
      </c>
      <c r="J44" s="180" t="s">
        <v>745</v>
      </c>
      <c r="K44" s="163" t="s">
        <v>746</v>
      </c>
      <c r="L44" s="180"/>
      <c r="M44" s="180">
        <v>144</v>
      </c>
      <c r="N44" s="178" t="s">
        <v>747</v>
      </c>
      <c r="O44" s="181" t="s">
        <v>34</v>
      </c>
      <c r="P44" s="182" t="s">
        <v>564</v>
      </c>
      <c r="Q44" s="166"/>
    </row>
    <row r="45" spans="1:17" ht="13.5" x14ac:dyDescent="0.35">
      <c r="A45" s="167" t="s">
        <v>748</v>
      </c>
      <c r="B45" s="167" t="s">
        <v>749</v>
      </c>
      <c r="C45" s="169" t="s">
        <v>750</v>
      </c>
      <c r="D45" s="176" t="s">
        <v>201</v>
      </c>
      <c r="E45" s="178" t="s">
        <v>751</v>
      </c>
      <c r="F45" s="179">
        <v>18073666.289999999</v>
      </c>
      <c r="G45" s="179"/>
      <c r="H45" s="179"/>
      <c r="I45" s="179">
        <v>9464915.7400000095</v>
      </c>
      <c r="J45" s="183" t="s">
        <v>752</v>
      </c>
      <c r="K45" s="163" t="s">
        <v>753</v>
      </c>
      <c r="L45" s="180"/>
      <c r="M45" s="180">
        <v>177</v>
      </c>
      <c r="N45" s="178" t="s">
        <v>754</v>
      </c>
      <c r="O45" s="181" t="s">
        <v>34</v>
      </c>
      <c r="P45" s="182" t="s">
        <v>557</v>
      </c>
      <c r="Q45" s="166"/>
    </row>
    <row r="46" spans="1:17" ht="13.5" x14ac:dyDescent="0.35">
      <c r="A46" s="167" t="s">
        <v>755</v>
      </c>
      <c r="B46" s="167" t="s">
        <v>756</v>
      </c>
      <c r="C46" s="168" t="s">
        <v>426</v>
      </c>
      <c r="D46" s="177" t="s">
        <v>201</v>
      </c>
      <c r="E46" s="178" t="s">
        <v>757</v>
      </c>
      <c r="F46" s="179">
        <v>250000000</v>
      </c>
      <c r="G46" s="179"/>
      <c r="H46" s="179"/>
      <c r="I46" s="179">
        <v>125854482.299999</v>
      </c>
      <c r="J46" s="180" t="s">
        <v>758</v>
      </c>
      <c r="K46" s="175" t="s">
        <v>759</v>
      </c>
      <c r="L46" s="180"/>
      <c r="M46" s="180">
        <v>180</v>
      </c>
      <c r="N46" s="178" t="s">
        <v>596</v>
      </c>
      <c r="O46" s="181" t="s">
        <v>34</v>
      </c>
      <c r="P46" s="182">
        <v>0.21249999999999999</v>
      </c>
      <c r="Q46" s="166"/>
    </row>
    <row r="47" spans="1:17" ht="13.5" x14ac:dyDescent="0.35">
      <c r="A47" s="167" t="s">
        <v>760</v>
      </c>
      <c r="B47" s="167" t="s">
        <v>760</v>
      </c>
      <c r="C47" s="168" t="s">
        <v>761</v>
      </c>
      <c r="D47" s="176" t="s">
        <v>201</v>
      </c>
      <c r="E47" s="178" t="s">
        <v>762</v>
      </c>
      <c r="F47" s="179">
        <v>431190000</v>
      </c>
      <c r="G47" s="179"/>
      <c r="H47" s="179"/>
      <c r="I47" s="179">
        <v>320282554.27999902</v>
      </c>
      <c r="J47" s="183" t="s">
        <v>763</v>
      </c>
      <c r="K47" s="175" t="s">
        <v>764</v>
      </c>
      <c r="L47" s="180"/>
      <c r="M47" s="180">
        <v>300</v>
      </c>
      <c r="N47" s="178" t="s">
        <v>265</v>
      </c>
      <c r="O47" s="181" t="s">
        <v>34</v>
      </c>
      <c r="P47" s="182">
        <v>0.32800000000000001</v>
      </c>
      <c r="Q47" s="166"/>
    </row>
    <row r="48" spans="1:17" ht="13.5" x14ac:dyDescent="0.35">
      <c r="A48" s="167" t="s">
        <v>765</v>
      </c>
      <c r="B48" s="167" t="s">
        <v>766</v>
      </c>
      <c r="C48" s="168" t="s">
        <v>761</v>
      </c>
      <c r="D48" s="177" t="s">
        <v>201</v>
      </c>
      <c r="E48" s="178" t="s">
        <v>767</v>
      </c>
      <c r="F48" s="179">
        <v>300000000</v>
      </c>
      <c r="G48" s="179"/>
      <c r="H48" s="179"/>
      <c r="I48" s="179">
        <v>241416077.44</v>
      </c>
      <c r="J48" s="180" t="s">
        <v>768</v>
      </c>
      <c r="K48" s="175" t="s">
        <v>769</v>
      </c>
      <c r="L48" s="180"/>
      <c r="M48" s="180">
        <v>300</v>
      </c>
      <c r="N48" s="178" t="s">
        <v>770</v>
      </c>
      <c r="O48" s="181" t="s">
        <v>34</v>
      </c>
      <c r="P48" s="182">
        <v>0.22700000000000001</v>
      </c>
      <c r="Q48" s="166"/>
    </row>
    <row r="49" spans="1:17" ht="13.5" x14ac:dyDescent="0.35">
      <c r="A49" s="167" t="s">
        <v>771</v>
      </c>
      <c r="B49" s="167" t="s">
        <v>772</v>
      </c>
      <c r="C49" s="168" t="s">
        <v>773</v>
      </c>
      <c r="D49" s="177" t="s">
        <v>201</v>
      </c>
      <c r="E49" s="178" t="s">
        <v>774</v>
      </c>
      <c r="F49" s="179">
        <v>3000000</v>
      </c>
      <c r="G49" s="179"/>
      <c r="H49" s="179"/>
      <c r="I49" s="179">
        <v>392046.14999999403</v>
      </c>
      <c r="J49" s="180" t="s">
        <v>775</v>
      </c>
      <c r="K49" s="163" t="s">
        <v>776</v>
      </c>
      <c r="L49" s="180"/>
      <c r="M49" s="180">
        <v>180</v>
      </c>
      <c r="N49" s="178" t="s">
        <v>735</v>
      </c>
      <c r="O49" s="181" t="s">
        <v>34</v>
      </c>
      <c r="P49" s="182" t="s">
        <v>564</v>
      </c>
      <c r="Q49" s="166"/>
    </row>
    <row r="50" spans="1:17" ht="13.5" x14ac:dyDescent="0.35">
      <c r="A50" s="184" t="s">
        <v>777</v>
      </c>
      <c r="B50" s="167" t="s">
        <v>778</v>
      </c>
      <c r="C50" s="168" t="s">
        <v>773</v>
      </c>
      <c r="D50" s="176" t="s">
        <v>201</v>
      </c>
      <c r="E50" s="178" t="s">
        <v>779</v>
      </c>
      <c r="F50" s="179">
        <v>2173000</v>
      </c>
      <c r="G50" s="179"/>
      <c r="H50" s="179"/>
      <c r="I50" s="179">
        <v>398383.65999999602</v>
      </c>
      <c r="J50" s="183" t="s">
        <v>780</v>
      </c>
      <c r="K50" s="163" t="s">
        <v>781</v>
      </c>
      <c r="L50" s="180"/>
      <c r="M50" s="180">
        <v>120</v>
      </c>
      <c r="N50" s="178" t="s">
        <v>514</v>
      </c>
      <c r="O50" s="181" t="s">
        <v>34</v>
      </c>
      <c r="P50" s="182" t="s">
        <v>557</v>
      </c>
      <c r="Q50" s="166"/>
    </row>
    <row r="51" spans="1:17" ht="13.5" x14ac:dyDescent="0.35">
      <c r="A51" s="167" t="s">
        <v>782</v>
      </c>
      <c r="B51" s="167" t="s">
        <v>783</v>
      </c>
      <c r="C51" s="168" t="s">
        <v>784</v>
      </c>
      <c r="D51" s="177" t="s">
        <v>201</v>
      </c>
      <c r="E51" s="178" t="s">
        <v>785</v>
      </c>
      <c r="F51" s="179">
        <v>28900000</v>
      </c>
      <c r="G51" s="179"/>
      <c r="H51" s="179"/>
      <c r="I51" s="179">
        <v>9633333.4800000302</v>
      </c>
      <c r="J51" s="180" t="s">
        <v>786</v>
      </c>
      <c r="K51" s="163" t="s">
        <v>787</v>
      </c>
      <c r="L51" s="180"/>
      <c r="M51" s="180">
        <v>120</v>
      </c>
      <c r="N51" s="178" t="s">
        <v>788</v>
      </c>
      <c r="O51" s="181" t="s">
        <v>34</v>
      </c>
      <c r="P51" s="182">
        <v>0.58099999999999996</v>
      </c>
      <c r="Q51" s="166"/>
    </row>
    <row r="52" spans="1:17" ht="13.5" x14ac:dyDescent="0.35">
      <c r="A52" s="167" t="s">
        <v>789</v>
      </c>
      <c r="B52" s="185" t="s">
        <v>790</v>
      </c>
      <c r="C52" s="168" t="s">
        <v>791</v>
      </c>
      <c r="D52" s="176" t="s">
        <v>201</v>
      </c>
      <c r="E52" s="178" t="s">
        <v>792</v>
      </c>
      <c r="F52" s="179">
        <v>5000000</v>
      </c>
      <c r="G52" s="179"/>
      <c r="H52" s="179"/>
      <c r="I52" s="179">
        <v>1837607.03999999</v>
      </c>
      <c r="J52" s="183" t="s">
        <v>793</v>
      </c>
      <c r="K52" s="163" t="s">
        <v>794</v>
      </c>
      <c r="L52" s="180"/>
      <c r="M52" s="180">
        <v>120</v>
      </c>
      <c r="N52" s="178" t="s">
        <v>542</v>
      </c>
      <c r="O52" s="181" t="s">
        <v>34</v>
      </c>
      <c r="P52" s="182">
        <v>0.20699999999999999</v>
      </c>
      <c r="Q52" s="166"/>
    </row>
    <row r="53" spans="1:17" ht="13.5" x14ac:dyDescent="0.35">
      <c r="A53" s="167" t="s">
        <v>795</v>
      </c>
      <c r="B53" s="167" t="s">
        <v>796</v>
      </c>
      <c r="C53" s="168" t="s">
        <v>797</v>
      </c>
      <c r="D53" s="177" t="s">
        <v>201</v>
      </c>
      <c r="E53" s="178" t="s">
        <v>798</v>
      </c>
      <c r="F53" s="179">
        <v>32900000</v>
      </c>
      <c r="G53" s="179"/>
      <c r="H53" s="179"/>
      <c r="I53" s="179">
        <v>19475287.339999899</v>
      </c>
      <c r="J53" s="180" t="s">
        <v>799</v>
      </c>
      <c r="K53" s="163" t="s">
        <v>800</v>
      </c>
      <c r="L53" s="180"/>
      <c r="M53" s="180">
        <v>180</v>
      </c>
      <c r="N53" s="178" t="s">
        <v>801</v>
      </c>
      <c r="O53" s="181" t="s">
        <v>34</v>
      </c>
      <c r="P53" s="182">
        <v>0.77300000000000002</v>
      </c>
      <c r="Q53" s="166"/>
    </row>
    <row r="54" spans="1:17" ht="13.5" x14ac:dyDescent="0.35">
      <c r="A54" s="167" t="s">
        <v>802</v>
      </c>
      <c r="B54" s="167" t="s">
        <v>803</v>
      </c>
      <c r="C54" s="168" t="s">
        <v>804</v>
      </c>
      <c r="D54" s="176" t="s">
        <v>201</v>
      </c>
      <c r="E54" s="178" t="s">
        <v>805</v>
      </c>
      <c r="F54" s="179">
        <v>24431513</v>
      </c>
      <c r="G54" s="179"/>
      <c r="H54" s="179"/>
      <c r="I54" s="179">
        <v>14041314.6499999</v>
      </c>
      <c r="J54" s="183" t="s">
        <v>806</v>
      </c>
      <c r="K54" s="163" t="s">
        <v>807</v>
      </c>
      <c r="L54" s="180"/>
      <c r="M54" s="180">
        <v>180</v>
      </c>
      <c r="N54" s="178" t="s">
        <v>808</v>
      </c>
      <c r="O54" s="181" t="s">
        <v>34</v>
      </c>
      <c r="P54" s="182">
        <v>0.752</v>
      </c>
      <c r="Q54" s="166"/>
    </row>
    <row r="55" spans="1:17" ht="13.5" x14ac:dyDescent="0.35">
      <c r="A55" s="167" t="s">
        <v>809</v>
      </c>
      <c r="B55" s="167" t="s">
        <v>810</v>
      </c>
      <c r="C55" s="169" t="s">
        <v>470</v>
      </c>
      <c r="D55" s="176" t="s">
        <v>201</v>
      </c>
      <c r="E55" s="178" t="s">
        <v>811</v>
      </c>
      <c r="F55" s="179">
        <v>90892593</v>
      </c>
      <c r="G55" s="179"/>
      <c r="H55" s="179"/>
      <c r="I55" s="179">
        <v>21245293.960000001</v>
      </c>
      <c r="J55" s="183" t="s">
        <v>812</v>
      </c>
      <c r="K55" s="163" t="s">
        <v>813</v>
      </c>
      <c r="L55" s="180"/>
      <c r="M55" s="180">
        <v>180</v>
      </c>
      <c r="N55" s="178" t="s">
        <v>814</v>
      </c>
      <c r="O55" s="181" t="s">
        <v>34</v>
      </c>
      <c r="P55" s="186">
        <v>0.2</v>
      </c>
      <c r="Q55" s="166"/>
    </row>
    <row r="56" spans="1:17" ht="13.5" x14ac:dyDescent="0.35">
      <c r="A56" s="167" t="s">
        <v>815</v>
      </c>
      <c r="B56" s="167" t="s">
        <v>816</v>
      </c>
      <c r="C56" s="168" t="s">
        <v>817</v>
      </c>
      <c r="D56" s="177" t="s">
        <v>201</v>
      </c>
      <c r="E56" s="178" t="s">
        <v>818</v>
      </c>
      <c r="F56" s="179">
        <v>30000000</v>
      </c>
      <c r="G56" s="179"/>
      <c r="H56" s="179"/>
      <c r="I56" s="179">
        <v>12155172.3899999</v>
      </c>
      <c r="J56" s="180" t="s">
        <v>819</v>
      </c>
      <c r="K56" s="163" t="s">
        <v>820</v>
      </c>
      <c r="L56" s="180"/>
      <c r="M56" s="180">
        <v>120</v>
      </c>
      <c r="N56" s="178" t="s">
        <v>634</v>
      </c>
      <c r="O56" s="181" t="s">
        <v>34</v>
      </c>
      <c r="P56" s="182">
        <v>0.21</v>
      </c>
      <c r="Q56" s="166"/>
    </row>
    <row r="57" spans="1:17" ht="13.5" x14ac:dyDescent="0.35">
      <c r="A57" s="167" t="s">
        <v>821</v>
      </c>
      <c r="B57" s="167" t="s">
        <v>822</v>
      </c>
      <c r="C57" s="169" t="s">
        <v>246</v>
      </c>
      <c r="D57" s="168" t="s">
        <v>201</v>
      </c>
      <c r="E57" s="167" t="s">
        <v>823</v>
      </c>
      <c r="F57" s="170">
        <v>10520999.83</v>
      </c>
      <c r="G57" s="170"/>
      <c r="H57" s="170"/>
      <c r="I57" s="179">
        <v>4922529.0419873698</v>
      </c>
      <c r="J57" s="174" t="s">
        <v>824</v>
      </c>
      <c r="K57" s="187">
        <v>7.8899999999999998E-2</v>
      </c>
      <c r="L57" s="171"/>
      <c r="M57" s="171" t="s">
        <v>825</v>
      </c>
      <c r="N57" s="167" t="s">
        <v>227</v>
      </c>
      <c r="O57" s="172" t="s">
        <v>826</v>
      </c>
      <c r="P57" s="173">
        <v>0.25</v>
      </c>
      <c r="Q57" s="188"/>
    </row>
    <row r="58" spans="1:17" ht="13.5" x14ac:dyDescent="0.35">
      <c r="A58" s="167" t="s">
        <v>827</v>
      </c>
      <c r="B58" s="167" t="s">
        <v>828</v>
      </c>
      <c r="C58" s="169" t="s">
        <v>268</v>
      </c>
      <c r="D58" s="169" t="s">
        <v>201</v>
      </c>
      <c r="E58" s="167" t="s">
        <v>829</v>
      </c>
      <c r="F58" s="170">
        <v>6143999.4100000001</v>
      </c>
      <c r="G58" s="170"/>
      <c r="H58" s="170"/>
      <c r="I58" s="179">
        <v>3147018.0209853998</v>
      </c>
      <c r="J58" s="171" t="s">
        <v>830</v>
      </c>
      <c r="K58" s="187">
        <v>6.88E-2</v>
      </c>
      <c r="L58" s="171"/>
      <c r="M58" s="171" t="s">
        <v>831</v>
      </c>
      <c r="N58" s="167" t="s">
        <v>227</v>
      </c>
      <c r="O58" s="172" t="s">
        <v>826</v>
      </c>
      <c r="P58" s="173">
        <v>0.25</v>
      </c>
      <c r="Q58" s="188"/>
    </row>
    <row r="59" spans="1:17" ht="13.5" x14ac:dyDescent="0.35">
      <c r="A59" s="167" t="s">
        <v>832</v>
      </c>
      <c r="B59" s="167" t="s">
        <v>833</v>
      </c>
      <c r="C59" s="169" t="s">
        <v>307</v>
      </c>
      <c r="D59" s="168" t="s">
        <v>201</v>
      </c>
      <c r="E59" s="167" t="s">
        <v>823</v>
      </c>
      <c r="F59" s="170">
        <v>12426999.619999999</v>
      </c>
      <c r="G59" s="170"/>
      <c r="H59" s="170"/>
      <c r="I59" s="179">
        <v>5814301.64274312</v>
      </c>
      <c r="J59" s="174" t="s">
        <v>834</v>
      </c>
      <c r="K59" s="187">
        <v>7.8899999999999998E-2</v>
      </c>
      <c r="L59" s="171"/>
      <c r="M59" s="171" t="s">
        <v>825</v>
      </c>
      <c r="N59" s="167" t="s">
        <v>227</v>
      </c>
      <c r="O59" s="172" t="s">
        <v>826</v>
      </c>
      <c r="P59" s="173">
        <v>0.25</v>
      </c>
      <c r="Q59" s="188"/>
    </row>
    <row r="60" spans="1:17" ht="13.5" x14ac:dyDescent="0.35">
      <c r="A60" s="167" t="s">
        <v>835</v>
      </c>
      <c r="B60" s="167" t="s">
        <v>836</v>
      </c>
      <c r="C60" s="169" t="s">
        <v>837</v>
      </c>
      <c r="D60" s="169" t="s">
        <v>201</v>
      </c>
      <c r="E60" s="167" t="s">
        <v>838</v>
      </c>
      <c r="F60" s="170">
        <v>6879999.5099999998</v>
      </c>
      <c r="G60" s="170"/>
      <c r="H60" s="170"/>
      <c r="I60" s="179">
        <v>3072794.89601871</v>
      </c>
      <c r="J60" s="171" t="s">
        <v>839</v>
      </c>
      <c r="K60" s="187">
        <v>7.9799999999999996E-2</v>
      </c>
      <c r="L60" s="171"/>
      <c r="M60" s="171" t="s">
        <v>840</v>
      </c>
      <c r="N60" s="167" t="s">
        <v>227</v>
      </c>
      <c r="O60" s="172" t="s">
        <v>826</v>
      </c>
      <c r="P60" s="173">
        <v>0.25</v>
      </c>
      <c r="Q60" s="188"/>
    </row>
    <row r="61" spans="1:17" ht="13.5" x14ac:dyDescent="0.35">
      <c r="A61" s="167" t="s">
        <v>841</v>
      </c>
      <c r="B61" s="167" t="s">
        <v>842</v>
      </c>
      <c r="C61" s="169" t="s">
        <v>339</v>
      </c>
      <c r="D61" s="168" t="s">
        <v>201</v>
      </c>
      <c r="E61" s="167" t="s">
        <v>843</v>
      </c>
      <c r="F61" s="170">
        <v>1019999.45</v>
      </c>
      <c r="G61" s="170"/>
      <c r="H61" s="170"/>
      <c r="I61" s="179">
        <v>458684.13734065398</v>
      </c>
      <c r="J61" s="174" t="s">
        <v>844</v>
      </c>
      <c r="K61" s="187">
        <v>8.72E-2</v>
      </c>
      <c r="L61" s="171"/>
      <c r="M61" s="171" t="s">
        <v>845</v>
      </c>
      <c r="N61" s="167" t="s">
        <v>227</v>
      </c>
      <c r="O61" s="172" t="s">
        <v>826</v>
      </c>
      <c r="P61" s="173">
        <v>0.25</v>
      </c>
      <c r="Q61" s="188"/>
    </row>
    <row r="62" spans="1:17" ht="13.5" x14ac:dyDescent="0.35">
      <c r="A62" s="167" t="s">
        <v>846</v>
      </c>
      <c r="B62" s="167" t="s">
        <v>847</v>
      </c>
      <c r="C62" s="169" t="s">
        <v>353</v>
      </c>
      <c r="D62" s="169" t="s">
        <v>201</v>
      </c>
      <c r="E62" s="167" t="s">
        <v>848</v>
      </c>
      <c r="F62" s="170">
        <v>3547999.89</v>
      </c>
      <c r="G62" s="170"/>
      <c r="H62" s="170"/>
      <c r="I62" s="179">
        <v>1825952.8515471001</v>
      </c>
      <c r="J62" s="171" t="s">
        <v>849</v>
      </c>
      <c r="K62" s="187">
        <v>6.7500000000000004E-2</v>
      </c>
      <c r="L62" s="171"/>
      <c r="M62" s="171" t="s">
        <v>850</v>
      </c>
      <c r="N62" s="167" t="s">
        <v>227</v>
      </c>
      <c r="O62" s="172" t="s">
        <v>826</v>
      </c>
      <c r="P62" s="173">
        <v>0.25</v>
      </c>
      <c r="Q62" s="188"/>
    </row>
    <row r="63" spans="1:17" ht="13.5" x14ac:dyDescent="0.35">
      <c r="A63" s="167" t="s">
        <v>851</v>
      </c>
      <c r="B63" s="167" t="s">
        <v>852</v>
      </c>
      <c r="C63" s="169" t="s">
        <v>359</v>
      </c>
      <c r="D63" s="168" t="s">
        <v>201</v>
      </c>
      <c r="E63" s="167" t="s">
        <v>853</v>
      </c>
      <c r="F63" s="170">
        <v>16997999.440000001</v>
      </c>
      <c r="G63" s="170"/>
      <c r="H63" s="170"/>
      <c r="I63" s="179">
        <v>7008250.0941205304</v>
      </c>
      <c r="J63" s="174" t="s">
        <v>854</v>
      </c>
      <c r="K63" s="189">
        <v>0.09</v>
      </c>
      <c r="L63" s="171"/>
      <c r="M63" s="171" t="s">
        <v>855</v>
      </c>
      <c r="N63" s="167" t="s">
        <v>227</v>
      </c>
      <c r="O63" s="172" t="s">
        <v>826</v>
      </c>
      <c r="P63" s="173">
        <v>0.25</v>
      </c>
      <c r="Q63" s="188"/>
    </row>
    <row r="64" spans="1:17" ht="13.5" x14ac:dyDescent="0.35">
      <c r="A64" s="167" t="s">
        <v>856</v>
      </c>
      <c r="B64" s="167" t="s">
        <v>857</v>
      </c>
      <c r="C64" s="169" t="s">
        <v>378</v>
      </c>
      <c r="D64" s="169" t="s">
        <v>201</v>
      </c>
      <c r="E64" s="167" t="s">
        <v>858</v>
      </c>
      <c r="F64" s="170">
        <v>3339999.4</v>
      </c>
      <c r="G64" s="170"/>
      <c r="H64" s="170"/>
      <c r="I64" s="179">
        <v>1563052.36921982</v>
      </c>
      <c r="J64" s="171" t="s">
        <v>859</v>
      </c>
      <c r="K64" s="187">
        <v>8.3199999999999996E-2</v>
      </c>
      <c r="L64" s="171"/>
      <c r="M64" s="171" t="s">
        <v>860</v>
      </c>
      <c r="N64" s="167" t="s">
        <v>227</v>
      </c>
      <c r="O64" s="172" t="s">
        <v>826</v>
      </c>
      <c r="P64" s="173">
        <v>0.25</v>
      </c>
      <c r="Q64" s="188"/>
    </row>
    <row r="65" spans="1:17" ht="13.5" x14ac:dyDescent="0.35">
      <c r="A65" s="167" t="s">
        <v>861</v>
      </c>
      <c r="B65" s="167" t="s">
        <v>862</v>
      </c>
      <c r="C65" s="168" t="s">
        <v>387</v>
      </c>
      <c r="D65" s="168" t="s">
        <v>201</v>
      </c>
      <c r="E65" s="167" t="s">
        <v>863</v>
      </c>
      <c r="F65" s="170">
        <v>4430999.6399999997</v>
      </c>
      <c r="G65" s="170"/>
      <c r="H65" s="170"/>
      <c r="I65" s="179">
        <v>2274779.3428444602</v>
      </c>
      <c r="J65" s="174" t="s">
        <v>864</v>
      </c>
      <c r="K65" s="187">
        <v>7.0900000000000005E-2</v>
      </c>
      <c r="L65" s="171"/>
      <c r="M65" s="171" t="s">
        <v>865</v>
      </c>
      <c r="N65" s="167" t="s">
        <v>227</v>
      </c>
      <c r="O65" s="172" t="s">
        <v>826</v>
      </c>
      <c r="P65" s="173">
        <v>0.25</v>
      </c>
      <c r="Q65" s="188"/>
    </row>
    <row r="66" spans="1:17" ht="13.5" x14ac:dyDescent="0.35">
      <c r="A66" s="167" t="s">
        <v>866</v>
      </c>
      <c r="B66" s="167" t="s">
        <v>867</v>
      </c>
      <c r="C66" s="169" t="s">
        <v>390</v>
      </c>
      <c r="D66" s="169" t="s">
        <v>201</v>
      </c>
      <c r="E66" s="167" t="s">
        <v>843</v>
      </c>
      <c r="F66" s="170">
        <v>4762999.42</v>
      </c>
      <c r="G66" s="170"/>
      <c r="H66" s="170"/>
      <c r="I66" s="179">
        <v>2228372.7646511798</v>
      </c>
      <c r="J66" s="171" t="s">
        <v>868</v>
      </c>
      <c r="K66" s="187">
        <v>8.3099999999999993E-2</v>
      </c>
      <c r="L66" s="171"/>
      <c r="M66" s="171" t="s">
        <v>869</v>
      </c>
      <c r="N66" s="167" t="s">
        <v>227</v>
      </c>
      <c r="O66" s="172" t="s">
        <v>826</v>
      </c>
      <c r="P66" s="173">
        <v>0.25</v>
      </c>
      <c r="Q66" s="188"/>
    </row>
    <row r="67" spans="1:17" ht="13.5" x14ac:dyDescent="0.35">
      <c r="A67" s="167" t="s">
        <v>870</v>
      </c>
      <c r="B67" s="167" t="s">
        <v>871</v>
      </c>
      <c r="C67" s="168" t="s">
        <v>442</v>
      </c>
      <c r="D67" s="168" t="s">
        <v>201</v>
      </c>
      <c r="E67" s="167" t="s">
        <v>863</v>
      </c>
      <c r="F67" s="170">
        <v>4529999.55</v>
      </c>
      <c r="G67" s="170"/>
      <c r="H67" s="170"/>
      <c r="I67" s="179">
        <v>2315409.4652135698</v>
      </c>
      <c r="J67" s="174" t="s">
        <v>872</v>
      </c>
      <c r="K67" s="187">
        <v>6.8699999999999997E-2</v>
      </c>
      <c r="L67" s="171"/>
      <c r="M67" s="171" t="s">
        <v>865</v>
      </c>
      <c r="N67" s="167" t="s">
        <v>227</v>
      </c>
      <c r="O67" s="172" t="s">
        <v>826</v>
      </c>
      <c r="P67" s="173">
        <v>0.25</v>
      </c>
      <c r="Q67" s="188"/>
    </row>
    <row r="68" spans="1:17" ht="13.5" x14ac:dyDescent="0.35">
      <c r="A68" s="167" t="s">
        <v>873</v>
      </c>
      <c r="B68" s="167" t="s">
        <v>874</v>
      </c>
      <c r="C68" s="169" t="s">
        <v>875</v>
      </c>
      <c r="D68" s="168" t="s">
        <v>201</v>
      </c>
      <c r="E68" s="167" t="s">
        <v>823</v>
      </c>
      <c r="F68" s="170">
        <v>1691000</v>
      </c>
      <c r="G68" s="170"/>
      <c r="H68" s="170"/>
      <c r="I68" s="179">
        <v>792774.99895730405</v>
      </c>
      <c r="J68" s="174" t="s">
        <v>876</v>
      </c>
      <c r="K68" s="187">
        <v>8.3099999999999993E-2</v>
      </c>
      <c r="L68" s="171"/>
      <c r="M68" s="171" t="s">
        <v>825</v>
      </c>
      <c r="N68" s="167" t="s">
        <v>227</v>
      </c>
      <c r="O68" s="172" t="s">
        <v>826</v>
      </c>
      <c r="P68" s="173">
        <v>0.25</v>
      </c>
      <c r="Q68" s="188"/>
    </row>
    <row r="69" spans="1:17" ht="13.5" x14ac:dyDescent="0.35">
      <c r="A69" s="97" t="s">
        <v>877</v>
      </c>
      <c r="B69" s="97" t="s">
        <v>878</v>
      </c>
      <c r="C69" s="123" t="s">
        <v>879</v>
      </c>
      <c r="D69" s="132" t="s">
        <v>201</v>
      </c>
      <c r="E69" s="97" t="s">
        <v>880</v>
      </c>
      <c r="F69" s="170">
        <v>7551999.3499999996</v>
      </c>
      <c r="G69" s="170"/>
      <c r="H69" s="170"/>
      <c r="I69" s="179">
        <v>3539861.4543323498</v>
      </c>
      <c r="J69" s="190" t="s">
        <v>881</v>
      </c>
      <c r="K69" s="191">
        <v>7.9500000000000001E-2</v>
      </c>
      <c r="L69" s="97"/>
      <c r="M69" s="97" t="s">
        <v>882</v>
      </c>
      <c r="N69" s="104" t="s">
        <v>227</v>
      </c>
      <c r="O69" s="164" t="s">
        <v>826</v>
      </c>
      <c r="P69" s="165">
        <v>0.25</v>
      </c>
      <c r="Q69" s="188"/>
    </row>
    <row r="70" spans="1:17" ht="13.5" x14ac:dyDescent="0.35">
      <c r="A70" s="167" t="s">
        <v>883</v>
      </c>
      <c r="B70" s="167" t="s">
        <v>884</v>
      </c>
      <c r="C70" s="169" t="s">
        <v>470</v>
      </c>
      <c r="D70" s="192" t="s">
        <v>201</v>
      </c>
      <c r="E70" s="167" t="s">
        <v>848</v>
      </c>
      <c r="F70" s="170">
        <v>4046999.88</v>
      </c>
      <c r="G70" s="170"/>
      <c r="H70" s="170"/>
      <c r="I70" s="179">
        <v>2082934.3229679</v>
      </c>
      <c r="J70" s="193" t="s">
        <v>885</v>
      </c>
      <c r="K70" s="194">
        <v>6.7699999999999996E-2</v>
      </c>
      <c r="L70" s="167"/>
      <c r="M70" s="167" t="s">
        <v>850</v>
      </c>
      <c r="N70" s="174" t="s">
        <v>227</v>
      </c>
      <c r="O70" s="172" t="s">
        <v>826</v>
      </c>
      <c r="P70" s="173">
        <v>0.25</v>
      </c>
      <c r="Q70" s="188"/>
    </row>
    <row r="71" spans="1:17" ht="17.649999999999999" x14ac:dyDescent="0.35">
      <c r="A71" s="195" t="s">
        <v>886</v>
      </c>
      <c r="B71" s="196"/>
      <c r="C71" s="197"/>
      <c r="D71" s="196"/>
      <c r="E71" s="196"/>
      <c r="F71" s="196"/>
      <c r="G71" s="196"/>
      <c r="H71" s="196"/>
      <c r="I71" s="196"/>
      <c r="J71" s="196"/>
      <c r="K71" s="196"/>
      <c r="L71" s="196"/>
      <c r="M71" s="196"/>
      <c r="N71" s="196"/>
      <c r="O71" s="198"/>
      <c r="P71" s="198"/>
      <c r="Q71" s="199"/>
    </row>
    <row r="72" spans="1:17" ht="13.5" x14ac:dyDescent="0.35">
      <c r="A72" s="97"/>
      <c r="B72" s="97" t="s">
        <v>887</v>
      </c>
      <c r="C72" s="141" t="s">
        <v>268</v>
      </c>
      <c r="D72" s="141" t="s">
        <v>482</v>
      </c>
      <c r="E72" s="97" t="s">
        <v>888</v>
      </c>
      <c r="F72" s="200">
        <v>16200000</v>
      </c>
      <c r="G72" s="150">
        <f>F72</f>
        <v>16200000</v>
      </c>
      <c r="H72" s="142">
        <f>F72-G72</f>
        <v>0</v>
      </c>
      <c r="I72" s="201">
        <v>1350000</v>
      </c>
      <c r="J72" s="202" t="s">
        <v>889</v>
      </c>
      <c r="K72" s="97" t="s">
        <v>890</v>
      </c>
      <c r="L72" s="144"/>
      <c r="M72" s="144" t="s">
        <v>891</v>
      </c>
      <c r="N72" s="104" t="s">
        <v>892</v>
      </c>
      <c r="O72" s="127" t="s">
        <v>893</v>
      </c>
      <c r="P72" s="203" t="s">
        <v>557</v>
      </c>
      <c r="Q72" s="166"/>
    </row>
    <row r="73" spans="1:17" ht="13.5" x14ac:dyDescent="0.35">
      <c r="A73" s="204" t="s">
        <v>894</v>
      </c>
      <c r="B73" s="204" t="s">
        <v>895</v>
      </c>
      <c r="C73" s="141" t="s">
        <v>896</v>
      </c>
      <c r="D73" s="141" t="s">
        <v>897</v>
      </c>
      <c r="E73" s="204" t="s">
        <v>898</v>
      </c>
      <c r="F73" s="205">
        <v>100000000</v>
      </c>
      <c r="G73" s="142"/>
      <c r="H73" s="142"/>
      <c r="I73" s="206">
        <v>8016.88</v>
      </c>
      <c r="J73" s="202" t="s">
        <v>899</v>
      </c>
      <c r="K73" s="204" t="s">
        <v>900</v>
      </c>
      <c r="L73" s="144"/>
      <c r="M73" s="207" t="s">
        <v>901</v>
      </c>
      <c r="N73" s="204" t="s">
        <v>902</v>
      </c>
      <c r="O73" s="127" t="s">
        <v>893</v>
      </c>
      <c r="P73" s="203" t="s">
        <v>557</v>
      </c>
      <c r="Q73" s="166"/>
    </row>
    <row r="74" spans="1:17" ht="13.5" x14ac:dyDescent="0.35">
      <c r="A74" s="204" t="s">
        <v>903</v>
      </c>
      <c r="B74" s="204" t="s">
        <v>904</v>
      </c>
      <c r="C74" s="141" t="s">
        <v>896</v>
      </c>
      <c r="D74" s="141" t="s">
        <v>905</v>
      </c>
      <c r="E74" s="204" t="s">
        <v>906</v>
      </c>
      <c r="F74" s="205">
        <v>50000000</v>
      </c>
      <c r="G74" s="142"/>
      <c r="H74" s="142"/>
      <c r="I74" s="206">
        <v>25223374.129999999</v>
      </c>
      <c r="J74" s="202" t="s">
        <v>899</v>
      </c>
      <c r="K74" s="204" t="s">
        <v>907</v>
      </c>
      <c r="L74" s="144"/>
      <c r="M74" s="207" t="s">
        <v>908</v>
      </c>
      <c r="N74" s="204" t="s">
        <v>902</v>
      </c>
      <c r="O74" s="127" t="s">
        <v>893</v>
      </c>
      <c r="P74" s="203" t="s">
        <v>557</v>
      </c>
      <c r="Q74" s="166"/>
    </row>
    <row r="75" spans="1:17" ht="13.5" x14ac:dyDescent="0.35">
      <c r="A75" s="204" t="s">
        <v>909</v>
      </c>
      <c r="B75" s="204" t="s">
        <v>910</v>
      </c>
      <c r="C75" s="141" t="s">
        <v>896</v>
      </c>
      <c r="D75" s="141" t="s">
        <v>911</v>
      </c>
      <c r="E75" s="204" t="s">
        <v>912</v>
      </c>
      <c r="F75" s="205">
        <v>75000000</v>
      </c>
      <c r="G75" s="142"/>
      <c r="H75" s="142"/>
      <c r="I75" s="206">
        <v>16218724.390000001</v>
      </c>
      <c r="J75" s="202" t="s">
        <v>899</v>
      </c>
      <c r="K75" s="204" t="s">
        <v>907</v>
      </c>
      <c r="L75" s="144"/>
      <c r="M75" s="207" t="s">
        <v>913</v>
      </c>
      <c r="N75" s="204" t="s">
        <v>902</v>
      </c>
      <c r="O75" s="127" t="s">
        <v>893</v>
      </c>
      <c r="P75" s="203" t="s">
        <v>557</v>
      </c>
      <c r="Q75" s="166"/>
    </row>
    <row r="76" spans="1:17" ht="13.5" x14ac:dyDescent="0.35">
      <c r="A76" s="204" t="s">
        <v>914</v>
      </c>
      <c r="B76" s="204" t="s">
        <v>915</v>
      </c>
      <c r="C76" s="141" t="s">
        <v>896</v>
      </c>
      <c r="D76" s="141" t="s">
        <v>916</v>
      </c>
      <c r="E76" s="204" t="s">
        <v>917</v>
      </c>
      <c r="F76" s="205">
        <v>100000000</v>
      </c>
      <c r="G76" s="142"/>
      <c r="H76" s="142"/>
      <c r="I76" s="206">
        <v>100000000</v>
      </c>
      <c r="J76" s="202" t="s">
        <v>899</v>
      </c>
      <c r="K76" s="204" t="s">
        <v>918</v>
      </c>
      <c r="L76" s="144"/>
      <c r="M76" s="207" t="s">
        <v>919</v>
      </c>
      <c r="N76" s="204" t="s">
        <v>902</v>
      </c>
      <c r="O76" s="127" t="s">
        <v>893</v>
      </c>
      <c r="P76" s="203" t="s">
        <v>557</v>
      </c>
      <c r="Q76" s="166"/>
    </row>
    <row r="77" spans="1:17" ht="14.25" customHeight="1" x14ac:dyDescent="0.35">
      <c r="A77" s="184" t="s">
        <v>920</v>
      </c>
      <c r="B77" s="167" t="s">
        <v>921</v>
      </c>
      <c r="C77" s="168" t="s">
        <v>426</v>
      </c>
      <c r="D77" s="208" t="s">
        <v>922</v>
      </c>
      <c r="E77" s="167" t="s">
        <v>923</v>
      </c>
      <c r="F77" s="209">
        <v>30000000</v>
      </c>
      <c r="G77" s="209"/>
      <c r="H77" s="209"/>
      <c r="I77" s="210">
        <v>0</v>
      </c>
      <c r="J77" s="211" t="s">
        <v>924</v>
      </c>
      <c r="K77" s="167" t="s">
        <v>925</v>
      </c>
      <c r="L77" s="212"/>
      <c r="M77" s="212" t="s">
        <v>891</v>
      </c>
      <c r="N77" s="167" t="s">
        <v>926</v>
      </c>
      <c r="O77" s="181" t="s">
        <v>893</v>
      </c>
      <c r="P77" s="182" t="s">
        <v>557</v>
      </c>
      <c r="Q77" s="166"/>
    </row>
    <row r="78" spans="1:17" ht="14.25" customHeight="1" x14ac:dyDescent="0.35">
      <c r="A78" s="184"/>
      <c r="B78" s="167" t="s">
        <v>927</v>
      </c>
      <c r="C78" s="168" t="s">
        <v>426</v>
      </c>
      <c r="D78" s="208" t="s">
        <v>928</v>
      </c>
      <c r="E78" s="184" t="s">
        <v>929</v>
      </c>
      <c r="F78" s="213">
        <v>30000000</v>
      </c>
      <c r="G78" s="209"/>
      <c r="H78" s="209"/>
      <c r="I78" s="210">
        <v>0</v>
      </c>
      <c r="J78" s="211" t="s">
        <v>930</v>
      </c>
      <c r="K78" s="204" t="s">
        <v>907</v>
      </c>
      <c r="L78" s="212"/>
      <c r="M78" s="214" t="s">
        <v>931</v>
      </c>
      <c r="N78" s="204" t="s">
        <v>902</v>
      </c>
      <c r="O78" s="127" t="s">
        <v>893</v>
      </c>
      <c r="P78" s="203" t="s">
        <v>557</v>
      </c>
      <c r="Q78" s="166"/>
    </row>
    <row r="79" spans="1:17" ht="14.25" customHeight="1" x14ac:dyDescent="0.35">
      <c r="A79" s="184"/>
      <c r="B79" s="167" t="s">
        <v>932</v>
      </c>
      <c r="C79" s="168" t="s">
        <v>933</v>
      </c>
      <c r="D79" s="208" t="s">
        <v>934</v>
      </c>
      <c r="E79" s="167" t="s">
        <v>935</v>
      </c>
      <c r="F79" s="209">
        <v>100000000</v>
      </c>
      <c r="G79" s="209"/>
      <c r="H79" s="209"/>
      <c r="I79" s="210">
        <v>0</v>
      </c>
      <c r="J79" s="211" t="s">
        <v>936</v>
      </c>
      <c r="K79" s="167" t="s">
        <v>918</v>
      </c>
      <c r="L79" s="212"/>
      <c r="M79" s="212" t="s">
        <v>937</v>
      </c>
      <c r="N79" s="167" t="s">
        <v>902</v>
      </c>
      <c r="O79" s="181" t="s">
        <v>893</v>
      </c>
      <c r="P79" s="182" t="s">
        <v>557</v>
      </c>
      <c r="Q79" s="166"/>
    </row>
    <row r="80" spans="1:17" ht="17.649999999999999" x14ac:dyDescent="0.35">
      <c r="A80" s="215" t="s">
        <v>938</v>
      </c>
      <c r="B80" s="216"/>
      <c r="C80" s="217"/>
      <c r="D80" s="216"/>
      <c r="E80" s="216"/>
      <c r="F80" s="216"/>
      <c r="G80" s="216"/>
      <c r="H80" s="216"/>
      <c r="I80" s="216"/>
      <c r="J80" s="216"/>
      <c r="K80" s="216"/>
      <c r="L80" s="216"/>
      <c r="M80" s="216"/>
      <c r="N80" s="216"/>
      <c r="O80" s="218"/>
      <c r="P80" s="218"/>
      <c r="Q80" s="219"/>
    </row>
    <row r="81" spans="1:17" ht="17.649999999999999" x14ac:dyDescent="0.35">
      <c r="A81" s="38" t="s">
        <v>939</v>
      </c>
      <c r="B81" s="39"/>
      <c r="C81" s="120"/>
      <c r="D81" s="39"/>
      <c r="E81" s="39"/>
      <c r="F81" s="39"/>
      <c r="G81" s="39"/>
      <c r="H81" s="39"/>
      <c r="I81" s="39"/>
      <c r="J81" s="39"/>
      <c r="K81" s="39"/>
      <c r="L81" s="39"/>
      <c r="M81" s="39"/>
      <c r="N81" s="39"/>
      <c r="O81" s="220"/>
      <c r="P81" s="220"/>
      <c r="Q81" s="219"/>
    </row>
    <row r="82" spans="1:17" ht="13.5" x14ac:dyDescent="0.35">
      <c r="A82" s="97"/>
      <c r="B82" s="97" t="s">
        <v>940</v>
      </c>
      <c r="C82" s="123" t="s">
        <v>941</v>
      </c>
      <c r="D82" s="123" t="s">
        <v>942</v>
      </c>
      <c r="E82" s="97" t="s">
        <v>943</v>
      </c>
      <c r="F82" s="100">
        <f>29792210.28*1.16</f>
        <v>34558963.924800001</v>
      </c>
      <c r="G82" s="101"/>
      <c r="H82" s="101"/>
      <c r="I82" s="221"/>
      <c r="J82" s="97" t="s">
        <v>944</v>
      </c>
      <c r="K82" s="97" t="s">
        <v>945</v>
      </c>
      <c r="L82" s="103"/>
      <c r="M82" s="222" t="s">
        <v>946</v>
      </c>
      <c r="N82" s="184" t="s">
        <v>947</v>
      </c>
      <c r="O82" s="164" t="s">
        <v>34</v>
      </c>
      <c r="P82" s="165">
        <v>0.3</v>
      </c>
      <c r="Q82" s="166"/>
    </row>
    <row r="83" spans="1:17" ht="13.5" x14ac:dyDescent="0.35">
      <c r="A83" s="167"/>
      <c r="B83" s="167" t="s">
        <v>948</v>
      </c>
      <c r="C83" s="168" t="s">
        <v>307</v>
      </c>
      <c r="D83" s="168" t="s">
        <v>942</v>
      </c>
      <c r="E83" s="167" t="s">
        <v>949</v>
      </c>
      <c r="F83" s="170">
        <f>27649151.04*1.16</f>
        <v>32073015.206399996</v>
      </c>
      <c r="G83" s="179"/>
      <c r="H83" s="179"/>
      <c r="I83" s="101">
        <v>8422981.5135999899</v>
      </c>
      <c r="J83" s="97" t="s">
        <v>950</v>
      </c>
      <c r="K83" s="167" t="s">
        <v>945</v>
      </c>
      <c r="L83" s="171"/>
      <c r="M83" s="222" t="s">
        <v>946</v>
      </c>
      <c r="N83" s="184" t="s">
        <v>951</v>
      </c>
      <c r="O83" s="172" t="s">
        <v>34</v>
      </c>
      <c r="P83" s="173">
        <v>0.4</v>
      </c>
      <c r="Q83" s="166"/>
    </row>
    <row r="84" spans="1:17" ht="13.5" x14ac:dyDescent="0.35">
      <c r="A84" s="167"/>
      <c r="B84" s="184" t="s">
        <v>952</v>
      </c>
      <c r="C84" s="169" t="s">
        <v>953</v>
      </c>
      <c r="D84" s="169" t="s">
        <v>954</v>
      </c>
      <c r="E84" s="184" t="s">
        <v>955</v>
      </c>
      <c r="F84" s="223">
        <v>16615312.560000001</v>
      </c>
      <c r="G84" s="179"/>
      <c r="H84" s="179"/>
      <c r="I84" s="101">
        <v>3686578.67</v>
      </c>
      <c r="J84" s="97" t="s">
        <v>956</v>
      </c>
      <c r="K84" s="167" t="s">
        <v>945</v>
      </c>
      <c r="L84" s="171"/>
      <c r="M84" s="222" t="s">
        <v>957</v>
      </c>
      <c r="N84" s="174"/>
      <c r="O84" s="172" t="s">
        <v>34</v>
      </c>
      <c r="P84" s="173"/>
      <c r="Q84" s="166"/>
    </row>
    <row r="85" spans="1:17" ht="13.5" x14ac:dyDescent="0.35">
      <c r="A85" s="97"/>
      <c r="B85" s="97" t="s">
        <v>958</v>
      </c>
      <c r="C85" s="123" t="s">
        <v>837</v>
      </c>
      <c r="D85" s="123" t="s">
        <v>942</v>
      </c>
      <c r="E85" s="97" t="s">
        <v>959</v>
      </c>
      <c r="F85" s="100">
        <f>18473525.28*1.16</f>
        <v>21429289.3248</v>
      </c>
      <c r="G85" s="101"/>
      <c r="H85" s="101"/>
      <c r="I85" s="101">
        <v>5621381.2280000001</v>
      </c>
      <c r="J85" s="97" t="s">
        <v>960</v>
      </c>
      <c r="K85" s="97" t="s">
        <v>945</v>
      </c>
      <c r="L85" s="103"/>
      <c r="M85" s="222" t="s">
        <v>961</v>
      </c>
      <c r="N85" s="204" t="s">
        <v>962</v>
      </c>
      <c r="O85" s="164" t="s">
        <v>34</v>
      </c>
      <c r="P85" s="165">
        <v>0.3</v>
      </c>
      <c r="Q85" s="166"/>
    </row>
    <row r="86" spans="1:17" ht="13.5" x14ac:dyDescent="0.35">
      <c r="A86" s="167"/>
      <c r="B86" s="167" t="s">
        <v>963</v>
      </c>
      <c r="C86" s="168" t="s">
        <v>353</v>
      </c>
      <c r="D86" s="168" t="s">
        <v>964</v>
      </c>
      <c r="E86" s="167" t="s">
        <v>965</v>
      </c>
      <c r="F86" s="170">
        <v>24085900.079999998</v>
      </c>
      <c r="G86" s="179"/>
      <c r="H86" s="179"/>
      <c r="I86" s="101">
        <v>4053253.6430189102</v>
      </c>
      <c r="J86" s="97" t="s">
        <v>966</v>
      </c>
      <c r="K86" s="167" t="s">
        <v>945</v>
      </c>
      <c r="L86" s="171"/>
      <c r="M86" s="224" t="s">
        <v>967</v>
      </c>
      <c r="N86" s="184" t="s">
        <v>968</v>
      </c>
      <c r="O86" s="172" t="s">
        <v>34</v>
      </c>
      <c r="P86" s="173"/>
      <c r="Q86" s="166"/>
    </row>
    <row r="87" spans="1:17" ht="13.5" x14ac:dyDescent="0.35">
      <c r="A87" s="97"/>
      <c r="B87" s="97" t="s">
        <v>969</v>
      </c>
      <c r="C87" s="123" t="s">
        <v>407</v>
      </c>
      <c r="D87" s="123" t="s">
        <v>970</v>
      </c>
      <c r="E87" s="97" t="s">
        <v>971</v>
      </c>
      <c r="F87" s="100">
        <v>4172116.8767999997</v>
      </c>
      <c r="G87" s="101"/>
      <c r="H87" s="101"/>
      <c r="I87" s="101" t="s">
        <v>999</v>
      </c>
      <c r="J87" s="97" t="s">
        <v>972</v>
      </c>
      <c r="K87" s="97" t="s">
        <v>945</v>
      </c>
      <c r="L87" s="103"/>
      <c r="M87" s="222" t="s">
        <v>973</v>
      </c>
      <c r="N87" s="204" t="s">
        <v>974</v>
      </c>
      <c r="O87" s="164" t="s">
        <v>34</v>
      </c>
      <c r="P87" s="165">
        <v>0.06</v>
      </c>
      <c r="Q87" s="166"/>
    </row>
    <row r="88" spans="1:17" ht="13.5" x14ac:dyDescent="0.35">
      <c r="A88" s="97"/>
      <c r="B88" s="97" t="s">
        <v>975</v>
      </c>
      <c r="C88" s="123" t="s">
        <v>517</v>
      </c>
      <c r="D88" s="123" t="s">
        <v>976</v>
      </c>
      <c r="E88" s="97" t="s">
        <v>977</v>
      </c>
      <c r="F88" s="100">
        <v>32599299.48</v>
      </c>
      <c r="G88" s="101"/>
      <c r="H88" s="101"/>
      <c r="I88" s="101" t="s">
        <v>999</v>
      </c>
      <c r="J88" s="97" t="s">
        <v>978</v>
      </c>
      <c r="K88" s="97" t="s">
        <v>945</v>
      </c>
      <c r="L88" s="103"/>
      <c r="M88" s="103">
        <v>120</v>
      </c>
      <c r="N88" s="104" t="s">
        <v>735</v>
      </c>
      <c r="O88" s="164" t="s">
        <v>34</v>
      </c>
      <c r="P88" s="165"/>
      <c r="Q88" s="166"/>
    </row>
    <row r="89" spans="1:17" ht="13.5" x14ac:dyDescent="0.35">
      <c r="A89" s="167"/>
      <c r="B89" s="167" t="s">
        <v>979</v>
      </c>
      <c r="C89" s="168" t="s">
        <v>980</v>
      </c>
      <c r="D89" s="168" t="s">
        <v>942</v>
      </c>
      <c r="E89" s="167" t="s">
        <v>943</v>
      </c>
      <c r="F89" s="170">
        <f>14933305.8*1.16</f>
        <v>17322634.728</v>
      </c>
      <c r="G89" s="179"/>
      <c r="H89" s="179"/>
      <c r="I89" s="101">
        <v>4539801.3459999897</v>
      </c>
      <c r="J89" s="97" t="s">
        <v>981</v>
      </c>
      <c r="K89" s="167" t="s">
        <v>945</v>
      </c>
      <c r="L89" s="171"/>
      <c r="M89" s="222" t="s">
        <v>946</v>
      </c>
      <c r="N89" s="184" t="s">
        <v>982</v>
      </c>
      <c r="O89" s="172" t="s">
        <v>34</v>
      </c>
      <c r="P89" s="173">
        <v>0.3</v>
      </c>
      <c r="Q89" s="166"/>
    </row>
    <row r="90" spans="1:17" ht="17.649999999999999" x14ac:dyDescent="0.35">
      <c r="A90" s="11" t="s">
        <v>983</v>
      </c>
      <c r="B90" s="12"/>
      <c r="C90" s="225"/>
      <c r="D90" s="12"/>
      <c r="E90" s="12"/>
      <c r="F90" s="12"/>
      <c r="G90" s="12"/>
      <c r="H90" s="12"/>
      <c r="I90" s="12"/>
      <c r="J90" s="12"/>
      <c r="K90" s="12"/>
      <c r="L90" s="12"/>
      <c r="M90" s="12"/>
      <c r="N90" s="12"/>
      <c r="O90" s="12"/>
      <c r="P90" s="12"/>
      <c r="Q90" s="162"/>
    </row>
    <row r="91" spans="1:17" ht="37.5" customHeight="1" x14ac:dyDescent="0.35">
      <c r="A91" s="97" t="s">
        <v>984</v>
      </c>
      <c r="B91" s="97" t="s">
        <v>985</v>
      </c>
      <c r="C91" s="123" t="s">
        <v>524</v>
      </c>
      <c r="D91" s="123" t="s">
        <v>986</v>
      </c>
      <c r="E91" s="97" t="s">
        <v>987</v>
      </c>
      <c r="F91" s="100">
        <v>301631734</v>
      </c>
      <c r="G91" s="101"/>
      <c r="H91" s="101"/>
      <c r="I91" s="221">
        <v>248846180.62</v>
      </c>
      <c r="J91" s="102" t="s">
        <v>988</v>
      </c>
      <c r="K91" s="97" t="s">
        <v>989</v>
      </c>
      <c r="L91" s="103"/>
      <c r="M91" s="103" t="s">
        <v>990</v>
      </c>
      <c r="N91" s="204">
        <v>2034</v>
      </c>
      <c r="O91" s="164" t="s">
        <v>34</v>
      </c>
      <c r="P91" s="165">
        <v>0.1</v>
      </c>
      <c r="Q91" s="226"/>
    </row>
    <row r="92" spans="1:17" ht="17.649999999999999" x14ac:dyDescent="0.35">
      <c r="A92" s="195" t="s">
        <v>991</v>
      </c>
      <c r="B92" s="227"/>
      <c r="C92" s="227"/>
      <c r="D92" s="227"/>
      <c r="E92" s="227"/>
      <c r="F92" s="227"/>
      <c r="G92" s="227"/>
      <c r="H92" s="227"/>
      <c r="I92" s="227"/>
      <c r="J92" s="227"/>
      <c r="K92" s="227"/>
      <c r="L92" s="227"/>
      <c r="M92" s="227"/>
      <c r="N92" s="227"/>
      <c r="O92" s="227"/>
      <c r="P92" s="96"/>
      <c r="Q92" s="162"/>
    </row>
    <row r="93" spans="1:17" ht="13.5" x14ac:dyDescent="0.35">
      <c r="A93" s="228" t="s">
        <v>559</v>
      </c>
      <c r="B93" s="228" t="s">
        <v>992</v>
      </c>
      <c r="C93" s="135" t="s">
        <v>993</v>
      </c>
      <c r="D93" s="229" t="s">
        <v>201</v>
      </c>
      <c r="E93" s="228" t="s">
        <v>994</v>
      </c>
      <c r="F93" s="230">
        <v>8000000</v>
      </c>
      <c r="G93" s="231"/>
      <c r="H93" s="231"/>
      <c r="I93" s="232">
        <v>344827.28</v>
      </c>
      <c r="J93" s="228" t="s">
        <v>995</v>
      </c>
      <c r="K93" s="228" t="s">
        <v>576</v>
      </c>
      <c r="L93" s="228"/>
      <c r="M93" s="228">
        <v>120</v>
      </c>
      <c r="N93" s="228" t="s">
        <v>996</v>
      </c>
      <c r="O93" s="233"/>
      <c r="P93" s="234"/>
      <c r="Q93" s="166"/>
    </row>
    <row r="94" spans="1:17" ht="13.5" x14ac:dyDescent="0.35">
      <c r="A94" s="235"/>
      <c r="B94" s="235"/>
      <c r="C94" s="235"/>
      <c r="D94" s="235"/>
      <c r="E94" s="235"/>
      <c r="F94" s="235"/>
      <c r="G94" s="235"/>
      <c r="H94" s="235"/>
      <c r="I94" s="235"/>
      <c r="J94" s="235"/>
      <c r="K94" s="235"/>
      <c r="L94" s="235"/>
      <c r="M94" s="235"/>
      <c r="N94" s="235"/>
      <c r="O94" s="235"/>
      <c r="P94" s="236"/>
      <c r="Q94" s="237"/>
    </row>
    <row r="95" spans="1:17" ht="14.25" x14ac:dyDescent="0.45">
      <c r="A95" s="118" t="s">
        <v>177</v>
      </c>
      <c r="B95" s="86"/>
      <c r="C95" s="86"/>
      <c r="D95" s="86"/>
      <c r="E95" s="86"/>
      <c r="F95" s="86"/>
      <c r="G95" s="86"/>
      <c r="H95" s="86"/>
      <c r="I95" s="86"/>
      <c r="J95" s="86"/>
      <c r="K95" s="86"/>
      <c r="L95" s="86"/>
      <c r="M95" s="86"/>
      <c r="N95" s="86"/>
      <c r="O95" s="86"/>
      <c r="P95" s="86"/>
      <c r="Q95" s="238"/>
    </row>
    <row r="96" spans="1:17" ht="14.25" x14ac:dyDescent="0.45">
      <c r="A96" s="118" t="s">
        <v>997</v>
      </c>
      <c r="B96" s="86"/>
      <c r="C96" s="86"/>
      <c r="D96" s="86"/>
      <c r="E96" s="86"/>
      <c r="F96" s="86"/>
      <c r="G96" s="86"/>
      <c r="H96" s="86"/>
      <c r="I96" s="86"/>
      <c r="J96" s="86"/>
      <c r="K96" s="86"/>
      <c r="L96" s="86"/>
      <c r="M96" s="86"/>
      <c r="N96" s="86"/>
      <c r="O96" s="86"/>
      <c r="P96" s="86"/>
      <c r="Q96" s="238"/>
    </row>
    <row r="97" spans="1:17" ht="14.25" x14ac:dyDescent="0.45">
      <c r="A97" s="118" t="s">
        <v>998</v>
      </c>
      <c r="B97" s="86"/>
      <c r="C97" s="86"/>
      <c r="D97" s="86"/>
      <c r="E97" s="86"/>
      <c r="F97" s="86"/>
      <c r="G97" s="86"/>
      <c r="H97" s="86"/>
      <c r="I97" s="86"/>
      <c r="J97" s="86"/>
      <c r="K97" s="86"/>
      <c r="L97" s="86"/>
      <c r="M97" s="86"/>
      <c r="N97" s="86"/>
      <c r="O97" s="86"/>
      <c r="P97" s="86"/>
      <c r="Q97" s="2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Totales</vt:lpstr>
      <vt:lpstr>Deuda Directa</vt:lpstr>
      <vt:lpstr>Deuda Contingente</vt:lpstr>
      <vt:lpstr>Deuda OEP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2020-11-19T20:21:43Z</dcterms:modified>
</cp:coreProperties>
</file>