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985" activeTab="1"/>
  </bookViews>
  <sheets>
    <sheet name="Totales" sheetId="1" r:id="rId1"/>
    <sheet name="Deuda Directa" sheetId="2" r:id="rId2"/>
    <sheet name="Deuda Contingente" sheetId="3" r:id="rId3"/>
    <sheet name="Deuda OEP" sheetId="4" r:id="rId4"/>
  </sheets>
  <definedNames>
    <definedName name="_xlnm.Print_Area" localSheetId="0">Totales!$A$1:$E$28</definedName>
    <definedName name="Z_C988244A_D8C7_44A6_922D_5407BCB3D20D_.wvu.FilterData" localSheetId="1" hidden="1">'Deuda Directa'!$A$1:$S$22</definedName>
  </definedNames>
  <calcPr calcId="162913"/>
  <customWorkbookViews>
    <customWorkbookView name="Filtro 1" guid="{C988244A-D8C7-44A6-922D-5407BCB3D20D}" maximized="1" windowWidth="0" windowHeight="0" activeSheetId="0"/>
  </customWorkbookViews>
</workbook>
</file>

<file path=xl/calcChain.xml><?xml version="1.0" encoding="utf-8"?>
<calcChain xmlns="http://schemas.openxmlformats.org/spreadsheetml/2006/main">
  <c r="F62" i="4" l="1"/>
  <c r="H58" i="4"/>
  <c r="G24" i="4"/>
  <c r="H24" i="4" s="1"/>
  <c r="I1" i="4"/>
  <c r="H70" i="3"/>
  <c r="G70" i="3"/>
  <c r="G67" i="3"/>
  <c r="H67" i="3" s="1"/>
  <c r="G64" i="3"/>
  <c r="G54" i="3"/>
  <c r="G48" i="3"/>
  <c r="G40" i="3"/>
  <c r="H40" i="3" s="1"/>
  <c r="G22" i="3"/>
  <c r="H19" i="3"/>
  <c r="G19" i="3"/>
  <c r="G14" i="3"/>
  <c r="I1" i="3"/>
  <c r="Q45" i="2"/>
  <c r="Q44" i="2"/>
  <c r="Q43" i="2"/>
  <c r="Q42" i="2"/>
  <c r="Q41" i="2"/>
  <c r="Q40" i="2"/>
  <c r="Q39" i="2"/>
  <c r="I38" i="2"/>
  <c r="E12" i="1" s="1"/>
  <c r="E11" i="1" s="1"/>
  <c r="H38" i="2"/>
  <c r="G38" i="2"/>
  <c r="F38" i="2"/>
  <c r="D12" i="1" s="1"/>
  <c r="D11" i="1" s="1"/>
  <c r="I34" i="2"/>
  <c r="H34" i="2"/>
  <c r="G34" i="2"/>
  <c r="F34" i="2"/>
  <c r="I31" i="2"/>
  <c r="E9" i="1" s="1"/>
  <c r="H31" i="2"/>
  <c r="G31" i="2"/>
  <c r="F31" i="2"/>
  <c r="I28" i="2"/>
  <c r="H28" i="2"/>
  <c r="G28" i="2"/>
  <c r="F28" i="2"/>
  <c r="D8" i="1" s="1"/>
  <c r="H24" i="2"/>
  <c r="G24" i="2"/>
  <c r="F24" i="2"/>
  <c r="H22" i="2"/>
  <c r="G22" i="2"/>
  <c r="G17" i="2" s="1"/>
  <c r="Q21" i="2"/>
  <c r="H21" i="2"/>
  <c r="H17" i="2" s="1"/>
  <c r="G21" i="2"/>
  <c r="Q20" i="2"/>
  <c r="Q19" i="2"/>
  <c r="Q18" i="2"/>
  <c r="F17" i="2"/>
  <c r="D6" i="1" s="1"/>
  <c r="H16" i="2"/>
  <c r="G16" i="2"/>
  <c r="H15" i="2"/>
  <c r="G15" i="2"/>
  <c r="G14" i="2"/>
  <c r="H14" i="2" s="1"/>
  <c r="G13" i="2"/>
  <c r="H13" i="2" s="1"/>
  <c r="G12" i="2"/>
  <c r="H12" i="2" s="1"/>
  <c r="H11" i="2"/>
  <c r="G11" i="2"/>
  <c r="G10" i="2"/>
  <c r="H10" i="2" s="1"/>
  <c r="H7" i="2"/>
  <c r="G7" i="2"/>
  <c r="G2" i="2"/>
  <c r="F2" i="2"/>
  <c r="I1" i="2"/>
  <c r="E25" i="1"/>
  <c r="D25" i="1"/>
  <c r="A25" i="1"/>
  <c r="E24" i="1"/>
  <c r="D24" i="1"/>
  <c r="D22" i="1" s="1"/>
  <c r="D19" i="1" s="1"/>
  <c r="A24" i="1"/>
  <c r="D23" i="1"/>
  <c r="A23" i="1"/>
  <c r="A22" i="1"/>
  <c r="D21" i="1"/>
  <c r="A21" i="1"/>
  <c r="D20" i="1"/>
  <c r="A20" i="1"/>
  <c r="D17" i="1"/>
  <c r="A17" i="1"/>
  <c r="A16" i="1"/>
  <c r="D15" i="1"/>
  <c r="A15" i="1"/>
  <c r="D14" i="1"/>
  <c r="A12" i="1"/>
  <c r="A11" i="1"/>
  <c r="E10" i="1"/>
  <c r="D10" i="1"/>
  <c r="A10" i="1"/>
  <c r="D9" i="1"/>
  <c r="A9" i="1"/>
  <c r="E8" i="1"/>
  <c r="A8" i="1"/>
  <c r="D7" i="1"/>
  <c r="A7" i="1"/>
  <c r="A6" i="1"/>
  <c r="D5" i="1"/>
  <c r="A5" i="1"/>
  <c r="E3" i="1"/>
  <c r="C1" i="1"/>
  <c r="I2" i="2" l="1"/>
  <c r="E5" i="1" s="1"/>
  <c r="E17" i="1"/>
  <c r="E20" i="1"/>
  <c r="E21" i="1"/>
  <c r="E15" i="1"/>
  <c r="I17" i="2"/>
  <c r="E6" i="1" s="1"/>
  <c r="E23" i="1"/>
  <c r="E22" i="1" s="1"/>
  <c r="I24" i="2"/>
  <c r="E7" i="1" s="1"/>
  <c r="H2" i="2"/>
  <c r="D4" i="1"/>
  <c r="D27" i="1" s="1"/>
  <c r="E14" i="1" l="1"/>
  <c r="E19" i="1"/>
  <c r="E4" i="1"/>
  <c r="E27" i="1" l="1"/>
</calcChain>
</file>

<file path=xl/sharedStrings.xml><?xml version="1.0" encoding="utf-8"?>
<sst xmlns="http://schemas.openxmlformats.org/spreadsheetml/2006/main" count="1489" uniqueCount="845">
  <si>
    <t xml:space="preserve"> </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</si>
  <si>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</si>
  <si>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</si>
  <si>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</si>
  <si>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</si>
  <si>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</si>
  <si>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</si>
  <si>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</si>
  <si>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</si>
  <si>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</si>
  <si>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</si>
  <si>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</si>
  <si>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</si>
  <si>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</si>
  <si>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</si>
  <si>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</si>
  <si>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</si>
  <si>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</si>
  <si>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</si>
  <si>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</si>
  <si>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</si>
  <si>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</si>
  <si>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</si>
  <si>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</si>
  <si>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Verum Calificadora de Valores</t>
  </si>
  <si>
    <t>Financiamientos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</si>
  <si>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</si>
  <si>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</si>
  <si>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</si>
  <si>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</si>
  <si>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</si>
  <si>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</si>
  <si>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</si>
  <si>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</si>
  <si>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</si>
  <si>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</si>
  <si>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</si>
  <si>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 (e)</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</si>
  <si>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</si>
  <si>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</si>
  <si>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</si>
  <si>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</si>
  <si>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</si>
  <si>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</si>
  <si>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</si>
  <si>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</si>
  <si>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</si>
  <si>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</si>
  <si>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</si>
  <si>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</si>
  <si>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</si>
  <si>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</si>
  <si>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</si>
  <si>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</si>
  <si>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</si>
  <si>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</si>
  <si>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</si>
  <si>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</si>
  <si>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</si>
  <si>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</si>
  <si>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</si>
  <si>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</si>
  <si>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</si>
  <si>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</si>
  <si>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</si>
  <si>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</si>
  <si>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</si>
  <si>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</si>
  <si>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</si>
  <si>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</si>
  <si>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+0.85%</t>
  </si>
  <si>
    <t>3,620 días</t>
  </si>
  <si>
    <t>HR AA+ (E)</t>
  </si>
  <si>
    <t>P14-0820079</t>
  </si>
  <si>
    <t>015/2020</t>
  </si>
  <si>
    <t>TIIE28 +0.70%</t>
  </si>
  <si>
    <t>Swap de TIIE28 = 5.9975%</t>
  </si>
  <si>
    <t>5,475 días</t>
  </si>
  <si>
    <t>P14-0820080</t>
  </si>
  <si>
    <t>016/2020</t>
  </si>
  <si>
    <t>Banco Nacional de México, S.A., Integrante del Grupo Financiero Citibanamex</t>
  </si>
  <si>
    <t>TIIE28 +0.69%</t>
  </si>
  <si>
    <t>Swap de TIIE28 = 5.9924%</t>
  </si>
  <si>
    <t>P14-0820081</t>
  </si>
  <si>
    <t>017/2020</t>
  </si>
  <si>
    <t>Swap de TIIE28 = 6.0000%</t>
  </si>
  <si>
    <t>7,300 días</t>
  </si>
  <si>
    <t>P14-0820082</t>
  </si>
  <si>
    <t>018/2020</t>
  </si>
  <si>
    <t>BBVA Bancomer, Institución de Banca Múltiple, Grupo Financiero BBVA Bancomer (Bancomer)</t>
  </si>
  <si>
    <t>Swap de TIIE28 = 6.0125%</t>
  </si>
  <si>
    <t>P14-0820083</t>
  </si>
  <si>
    <t>019/2020</t>
  </si>
  <si>
    <t>TIIE28 +0.73%</t>
  </si>
  <si>
    <t>Swap de TIIE28 = 6.0060%</t>
  </si>
  <si>
    <t>P14-0820084</t>
  </si>
  <si>
    <t>020/2020</t>
  </si>
  <si>
    <t>TIIE28 +0.75%</t>
  </si>
  <si>
    <t>Financiamientos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</si>
  <si>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</si>
  <si>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</si>
  <si>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</si>
  <si>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</si>
  <si>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</si>
  <si>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</si>
  <si>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</si>
  <si>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</si>
  <si>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</si>
  <si>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</si>
  <si>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</si>
  <si>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</si>
  <si>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</si>
  <si>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</si>
  <si>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</si>
  <si>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</si>
  <si>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</si>
  <si>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</si>
  <si>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</si>
  <si>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</si>
  <si>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</si>
  <si>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</si>
  <si>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</si>
  <si>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Financiamientos de Corto Plazo del Gobierno del Estado con la Banca Comercial</t>
  </si>
  <si>
    <t>Q14-0122010</t>
  </si>
  <si>
    <t>002/2021</t>
  </si>
  <si>
    <t>BBVA México, S.A., Institución de Banca Múltiple, Grupo Financiero BBVA México</t>
  </si>
  <si>
    <t>Cubrir necesidades de corto plazo, entendiendo dichas necesidades como insuficiencias de liquidez de carácter temporal, en términos del articulo 31 primer parrafo de la Ley de Disciplina Financiera de las Entidades Federativas y los Municipios</t>
  </si>
  <si>
    <t>DIC 08-2021</t>
  </si>
  <si>
    <t>No Aplica</t>
  </si>
  <si>
    <t>TIIE+0.25%</t>
  </si>
  <si>
    <t xml:space="preserve">365 días </t>
  </si>
  <si>
    <t>Ingresos propios</t>
  </si>
  <si>
    <t>Q14-0222051</t>
  </si>
  <si>
    <t>003/2021</t>
  </si>
  <si>
    <t>TIIE+0.30%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</si>
  <si>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</si>
  <si>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</si>
  <si>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</si>
  <si>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</si>
  <si>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</si>
  <si>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</si>
  <si>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</si>
  <si>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</si>
  <si>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</si>
  <si>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</si>
  <si>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</si>
  <si>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</si>
  <si>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</si>
  <si>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</si>
  <si>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</si>
  <si>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</si>
  <si>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</si>
  <si>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</si>
  <si>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</si>
  <si>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</si>
  <si>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</si>
  <si>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</si>
  <si>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</si>
  <si>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</si>
  <si>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</si>
  <si>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</si>
  <si>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</si>
  <si>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</si>
  <si>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</si>
  <si>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</si>
  <si>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</si>
  <si>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</si>
  <si>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</si>
  <si>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</si>
  <si>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</si>
  <si>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</si>
  <si>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</si>
  <si>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</si>
  <si>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</si>
  <si>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</si>
  <si>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</si>
  <si>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</si>
  <si>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</si>
  <si>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</si>
  <si>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</si>
  <si>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</si>
  <si>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</si>
  <si>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</si>
  <si>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</si>
  <si>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</si>
  <si>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</si>
  <si>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</si>
  <si>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</si>
  <si>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</si>
  <si>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</si>
  <si>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</si>
  <si>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</si>
  <si>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</si>
  <si>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</si>
  <si>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</si>
  <si>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</si>
  <si>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0.59% del FGP</t>
  </si>
  <si>
    <t>P14-1016044</t>
  </si>
  <si>
    <t>054/2016</t>
  </si>
  <si>
    <t>Banamex</t>
  </si>
  <si>
    <t>AGO 17-2016</t>
  </si>
  <si>
    <t>TIIE+0.59</t>
  </si>
  <si>
    <t xml:space="preserve"> AGO-2036</t>
  </si>
  <si>
    <t>1.07% del FGP</t>
  </si>
  <si>
    <t>098/2008</t>
  </si>
  <si>
    <t>016/2008</t>
  </si>
  <si>
    <t>Banobras</t>
  </si>
  <si>
    <t>MAY 6-2008</t>
  </si>
  <si>
    <t>TIIE + 0.27%</t>
  </si>
  <si>
    <t xml:space="preserve"> JUN-2031</t>
  </si>
  <si>
    <t>2.30% del FGP</t>
  </si>
  <si>
    <t>269/2009</t>
  </si>
  <si>
    <t>030/2009</t>
  </si>
  <si>
    <t>CEA</t>
  </si>
  <si>
    <t>JUL 23-2009</t>
  </si>
  <si>
    <t>21540 Y 22585</t>
  </si>
  <si>
    <t>TIIE + 2.00%</t>
  </si>
  <si>
    <t>0.15% del FGP</t>
  </si>
  <si>
    <t>451/2010</t>
  </si>
  <si>
    <t>051/2010</t>
  </si>
  <si>
    <t>NOV 19-2010</t>
  </si>
  <si>
    <t>22585 Y 23166</t>
  </si>
  <si>
    <t>TIIE + 2.24%</t>
  </si>
  <si>
    <t>0.60% del FGP</t>
  </si>
  <si>
    <t>Avales a Municipios con la Banca Comercial</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</si>
  <si>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</si>
  <si>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</si>
  <si>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</si>
  <si>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</si>
  <si>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</si>
  <si>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</si>
  <si>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</si>
  <si>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</si>
  <si>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</si>
  <si>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</si>
  <si>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</si>
  <si>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</si>
  <si>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</si>
  <si>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</si>
  <si>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</si>
  <si>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</si>
  <si>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</si>
  <si>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</si>
  <si>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</si>
  <si>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</si>
  <si>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</si>
  <si>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</si>
  <si>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</si>
  <si>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</si>
  <si>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</si>
  <si>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</si>
  <si>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</si>
  <si>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</si>
  <si>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</si>
  <si>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</si>
  <si>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</si>
  <si>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</si>
  <si>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</si>
  <si>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</si>
  <si>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</si>
  <si>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</si>
  <si>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</si>
  <si>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</si>
  <si>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</si>
  <si>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</si>
  <si>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</si>
  <si>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</si>
  <si>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</si>
  <si>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</si>
  <si>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</si>
  <si>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</si>
  <si>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</si>
  <si>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</si>
  <si>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</si>
  <si>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</si>
  <si>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</si>
  <si>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</si>
  <si>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</si>
  <si>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</si>
  <si>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</si>
  <si>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</si>
  <si>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</si>
  <si>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</si>
  <si>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</si>
  <si>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</si>
  <si>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</si>
  <si>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</si>
  <si>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</si>
  <si>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</si>
  <si>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</si>
  <si>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</si>
  <si>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</si>
  <si>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</si>
  <si>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</si>
  <si>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</si>
  <si>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</si>
  <si>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</si>
  <si>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</si>
  <si>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</si>
  <si>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</si>
  <si>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</si>
  <si>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</si>
  <si>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</si>
  <si>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</si>
  <si>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</si>
  <si>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</si>
  <si>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</si>
  <si>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</si>
  <si>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</si>
  <si>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</si>
  <si>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</si>
  <si>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</si>
  <si>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</si>
  <si>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</si>
  <si>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</si>
  <si>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</si>
  <si>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</si>
  <si>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</si>
  <si>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</si>
  <si>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</si>
  <si>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</si>
  <si>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</si>
  <si>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</si>
  <si>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</si>
  <si>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</si>
  <si>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</si>
  <si>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</si>
  <si>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</si>
  <si>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</si>
  <si>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</si>
  <si>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</si>
  <si>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</si>
  <si>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</si>
  <si>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</si>
  <si>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</si>
  <si>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</si>
  <si>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</si>
  <si>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</si>
  <si>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</si>
  <si>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</si>
  <si>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</si>
  <si>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</si>
  <si>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P14-0518050</t>
  </si>
  <si>
    <t>030/2017</t>
  </si>
  <si>
    <t>Magdalena</t>
  </si>
  <si>
    <t>TIIE+1.21%</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</si>
  <si>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</si>
  <si>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</si>
  <si>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</si>
  <si>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</si>
  <si>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</si>
  <si>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</si>
  <si>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</si>
  <si>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</si>
  <si>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</si>
  <si>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</si>
  <si>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</si>
  <si>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</si>
  <si>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</si>
  <si>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</si>
  <si>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</si>
  <si>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</si>
  <si>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</si>
  <si>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</si>
  <si>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</si>
  <si>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</si>
  <si>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</si>
  <si>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</si>
  <si>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</si>
  <si>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</si>
  <si>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</si>
  <si>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</si>
  <si>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</si>
  <si>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</si>
  <si>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</si>
  <si>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</si>
  <si>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</si>
  <si>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</si>
  <si>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</si>
  <si>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</si>
  <si>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</si>
  <si>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</si>
  <si>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</si>
  <si>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</si>
  <si>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</si>
  <si>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</si>
  <si>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</si>
  <si>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</si>
  <si>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</si>
  <si>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</si>
  <si>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</si>
  <si>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</si>
  <si>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</si>
  <si>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</si>
  <si>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</si>
  <si>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</si>
  <si>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</si>
  <si>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</si>
  <si>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</si>
  <si>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</si>
  <si>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</si>
  <si>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</si>
  <si>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</si>
  <si>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</si>
  <si>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</si>
  <si>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</si>
  <si>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</si>
  <si>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</si>
  <si>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</si>
  <si>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</si>
  <si>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</si>
  <si>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</si>
  <si>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</si>
  <si>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</si>
  <si>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</si>
  <si>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</si>
  <si>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</si>
  <si>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</si>
  <si>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</si>
  <si>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</si>
  <si>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</si>
  <si>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</si>
  <si>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</si>
  <si>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</si>
  <si>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</si>
  <si>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</si>
  <si>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</si>
  <si>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</si>
  <si>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</si>
  <si>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</si>
  <si>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</si>
  <si>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</si>
  <si>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</si>
  <si>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</si>
  <si>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</si>
  <si>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</si>
  <si>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</si>
  <si>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</si>
  <si>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</si>
  <si>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</si>
  <si>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</si>
  <si>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</si>
  <si>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</si>
  <si>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</si>
  <si>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</si>
  <si>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</si>
  <si>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</si>
  <si>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</si>
  <si>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</si>
  <si>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</si>
  <si>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</si>
  <si>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</si>
  <si>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</si>
  <si>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</si>
  <si>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</si>
  <si>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</si>
  <si>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</si>
  <si>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</si>
  <si>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</si>
  <si>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</si>
  <si>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</si>
  <si>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</si>
  <si>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</si>
  <si>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</si>
  <si>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</si>
  <si>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</si>
  <si>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</si>
  <si>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</si>
  <si>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</si>
  <si>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</si>
  <si>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</si>
  <si>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</si>
  <si>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</si>
  <si>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</si>
  <si>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</si>
  <si>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</si>
  <si>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</si>
  <si>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</si>
  <si>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</si>
  <si>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</si>
  <si>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</si>
  <si>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</si>
  <si>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</si>
  <si>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</si>
  <si>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</si>
  <si>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</si>
  <si>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</si>
  <si>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</si>
  <si>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</si>
  <si>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</si>
  <si>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</si>
  <si>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</si>
  <si>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</si>
  <si>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</si>
  <si>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</si>
  <si>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</si>
  <si>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</si>
  <si>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</si>
  <si>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</si>
  <si>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</si>
  <si>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+ 0.5%</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</si>
  <si>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</si>
  <si>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</si>
  <si>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</si>
  <si>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</si>
  <si>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</si>
  <si>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</si>
  <si>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</si>
  <si>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</si>
  <si>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</si>
  <si>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</si>
  <si>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</si>
  <si>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</si>
  <si>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</si>
  <si>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</si>
  <si>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</si>
  <si>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</si>
  <si>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</si>
  <si>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</si>
  <si>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</si>
  <si>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</si>
  <si>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</si>
  <si>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</si>
  <si>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</si>
  <si>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</si>
  <si>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</si>
  <si>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</si>
  <si>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</si>
  <si>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</si>
  <si>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</si>
  <si>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</si>
  <si>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</si>
  <si>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</si>
  <si>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</si>
  <si>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14-2014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</si>
  <si>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</si>
  <si>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</si>
  <si>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</si>
  <si>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</si>
  <si>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</si>
  <si>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</si>
  <si>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</si>
  <si>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</si>
  <si>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</si>
  <si>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</si>
  <si>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</si>
  <si>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</si>
  <si>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</si>
  <si>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</si>
  <si>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</si>
  <si>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</si>
  <si>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</si>
  <si>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</si>
  <si>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</si>
  <si>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</si>
  <si>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</si>
  <si>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</si>
  <si>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</si>
  <si>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</si>
  <si>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</si>
  <si>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P14-0812121</t>
  </si>
  <si>
    <t>027/2012</t>
  </si>
  <si>
    <t>Chimaltitán</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</si>
  <si>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</si>
  <si>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</si>
  <si>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</si>
  <si>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</si>
  <si>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</si>
  <si>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</si>
  <si>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</si>
  <si>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</si>
  <si>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</si>
  <si>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</si>
  <si>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</si>
  <si>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</si>
  <si>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</si>
  <si>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</si>
  <si>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</si>
  <si>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</si>
  <si>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</si>
  <si>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</si>
  <si>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</si>
  <si>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</si>
  <si>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</si>
  <si>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</si>
  <si>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</si>
  <si>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</si>
  <si>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</si>
  <si>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</si>
  <si>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</si>
  <si>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</si>
  <si>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</si>
  <si>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</si>
  <si>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</si>
  <si>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</si>
  <si>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</si>
  <si>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</si>
  <si>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</si>
  <si>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</si>
  <si>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P14-0914136</t>
  </si>
  <si>
    <t>024/2014</t>
  </si>
  <si>
    <t>Jamay</t>
  </si>
  <si>
    <t xml:space="preserve"> AGO 13-2014</t>
  </si>
  <si>
    <t xml:space="preserve"> MAR 24-2014</t>
  </si>
  <si>
    <t xml:space="preserve">TIIE + 1.70%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</si>
  <si>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</si>
  <si>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</si>
  <si>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</si>
  <si>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</si>
  <si>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</si>
  <si>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</si>
  <si>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</si>
  <si>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</si>
  <si>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</si>
  <si>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</si>
  <si>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</si>
  <si>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</si>
  <si>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</si>
  <si>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</si>
  <si>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</si>
  <si>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</si>
  <si>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</si>
  <si>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</si>
  <si>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</si>
  <si>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</si>
  <si>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</si>
  <si>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</si>
  <si>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</si>
  <si>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</si>
  <si>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</si>
  <si>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</si>
  <si>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Totalidad</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</si>
  <si>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</si>
  <si>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</si>
  <si>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</si>
  <si>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</si>
  <si>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</si>
  <si>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</si>
  <si>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</si>
  <si>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</si>
  <si>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</si>
  <si>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</si>
  <si>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</si>
  <si>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</si>
  <si>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</si>
  <si>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</si>
  <si>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</si>
  <si>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</si>
  <si>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</si>
  <si>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</si>
  <si>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</si>
  <si>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</si>
  <si>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</si>
  <si>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</si>
  <si>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</si>
  <si>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</si>
  <si>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</si>
  <si>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</si>
  <si>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</si>
  <si>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</si>
  <si>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</si>
  <si>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</si>
  <si>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</si>
  <si>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</si>
  <si>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</si>
  <si>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</si>
  <si>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</si>
  <si>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</si>
  <si>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</si>
  <si>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</si>
  <si>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</si>
  <si>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</si>
  <si>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</si>
  <si>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</si>
  <si>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</si>
  <si>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</si>
  <si>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</si>
  <si>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</si>
  <si>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</si>
  <si>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</si>
  <si>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</si>
  <si>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</si>
  <si>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</si>
  <si>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</si>
  <si>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</si>
  <si>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TIIE + 2.81%</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</si>
  <si>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</si>
  <si>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</si>
  <si>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</si>
  <si>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</si>
  <si>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</si>
  <si>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</si>
  <si>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</si>
  <si>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</si>
  <si>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</si>
  <si>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</si>
  <si>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</si>
  <si>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</si>
  <si>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</si>
  <si>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</si>
  <si>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</si>
  <si>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</si>
  <si>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</si>
  <si>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</si>
  <si>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</si>
  <si>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</si>
  <si>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</si>
  <si>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</si>
  <si>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</si>
  <si>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</si>
  <si>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</si>
  <si>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</si>
  <si>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</si>
  <si>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</si>
  <si>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</si>
  <si>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</si>
  <si>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</si>
  <si>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</si>
  <si>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</si>
  <si>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</si>
  <si>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</si>
  <si>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</si>
  <si>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</si>
  <si>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</si>
  <si>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</si>
  <si>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</si>
  <si>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</si>
  <si>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</si>
  <si>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</si>
  <si>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</si>
  <si>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</si>
  <si>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</si>
  <si>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</si>
  <si>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</si>
  <si>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</si>
  <si>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</si>
  <si>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</si>
  <si>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</si>
  <si>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</si>
  <si>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</si>
  <si>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</si>
  <si>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</si>
  <si>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</si>
  <si>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</si>
  <si>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</si>
  <si>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</si>
  <si>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</si>
  <si>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</si>
  <si>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</si>
  <si>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</si>
  <si>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</si>
  <si>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</si>
  <si>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</si>
  <si>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</si>
  <si>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</si>
  <si>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</si>
  <si>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</si>
  <si>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</si>
  <si>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</si>
  <si>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</si>
  <si>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</si>
  <si>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</si>
  <si>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</si>
  <si>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</si>
  <si>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</si>
  <si>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</si>
  <si>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</si>
  <si>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</si>
  <si>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</si>
  <si>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</si>
  <si>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</si>
  <si>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P14-1221043</t>
  </si>
  <si>
    <t>001/2021</t>
  </si>
  <si>
    <t xml:space="preserve"> JUL 14-2021</t>
  </si>
  <si>
    <t>-</t>
  </si>
  <si>
    <t>Decreto 27997/LXII/2020, 28285/LXII/20 y las Sesiones de cabildo de 10 de marzo de 2021, 20 de mayo de 2021 y 13 de septiembre de 2021</t>
  </si>
  <si>
    <t>TIIE + 1.45%</t>
  </si>
  <si>
    <t xml:space="preserve"> JUL 13-2031</t>
  </si>
  <si>
    <t>P14-0115003</t>
  </si>
  <si>
    <t>039/2014</t>
  </si>
  <si>
    <t>Zapotlanejo</t>
  </si>
  <si>
    <t>DIC 04-2014</t>
  </si>
  <si>
    <t>JUN 30-2014</t>
  </si>
  <si>
    <t>TIIE + 2.22%</t>
  </si>
  <si>
    <t>A14-0422009</t>
  </si>
  <si>
    <t>001/2022</t>
  </si>
  <si>
    <t xml:space="preserve">Ixtlahuacán del Río </t>
  </si>
  <si>
    <t>FEB 24-2022</t>
  </si>
  <si>
    <t>Decreto 28449/LXII/21 del H. Congreso del Estado publicado el 28 de septiembre de 2021 
El acta de la sesión ordinaria de fecha 01 de octubre de 2021</t>
  </si>
  <si>
    <t xml:space="preserve">Hasta 865 días </t>
  </si>
  <si>
    <t>SEP 02-2024</t>
  </si>
  <si>
    <t>FAISM</t>
  </si>
  <si>
    <t>A14-0422012</t>
  </si>
  <si>
    <t>002/2022</t>
  </si>
  <si>
    <t xml:space="preserve">San Martín Hidalgo </t>
  </si>
  <si>
    <t>MAR 03-2022</t>
  </si>
  <si>
    <t>Decreto 28449/LXII/21 del H. Congreso del Estado publicado el 28 de septiembre de 2021 
El acta N° 03 de la sesión Extraordinaria de fecha 30 de octubre de 2021</t>
  </si>
  <si>
    <t>A14-0522020</t>
  </si>
  <si>
    <t>005/2022</t>
  </si>
  <si>
    <t xml:space="preserve">Tala </t>
  </si>
  <si>
    <t>ABR 01-2022</t>
  </si>
  <si>
    <t>Decreto 28449/LXII/21 del H. Congreso del Estado publicado el 28 de septiembre de 2021 
El acta N° 06 de la sesión Ordinaria de fecha 30 de noviembre de 2021</t>
  </si>
  <si>
    <t>Hasta 825 días</t>
  </si>
  <si>
    <t>A14-0522023</t>
  </si>
  <si>
    <t>004/2022</t>
  </si>
  <si>
    <t>San Diego de Alejandría</t>
  </si>
  <si>
    <t>MAR 31-2022</t>
  </si>
  <si>
    <t>A14-0622027</t>
  </si>
  <si>
    <t>008/2022</t>
  </si>
  <si>
    <t>ABR 13-2022</t>
  </si>
  <si>
    <t>Hasta 813 días</t>
  </si>
  <si>
    <t>Financiamiento de Municipios a Corto Plazo</t>
  </si>
  <si>
    <t>Q14-0222034</t>
  </si>
  <si>
    <t>004/2021</t>
  </si>
  <si>
    <t>Puerto Vallarta</t>
  </si>
  <si>
    <t xml:space="preserve">Santander </t>
  </si>
  <si>
    <t>El acta de cabildo de la Sesión Ordinaria del H. Ayuntamiento de Puerto Vallarta, Jalisco de fecha 19 de noviembre de 2021</t>
  </si>
  <si>
    <t>TIIE + 1.20%</t>
  </si>
  <si>
    <t>Hasta 365 días</t>
  </si>
  <si>
    <t xml:space="preserve">Ingresos Propios </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</si>
  <si>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</si>
  <si>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</si>
  <si>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</si>
  <si>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</si>
  <si>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</si>
  <si>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</si>
  <si>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</si>
  <si>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</si>
  <si>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</si>
  <si>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</si>
  <si>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021/2014</t>
  </si>
  <si>
    <t>Cihuatlán</t>
  </si>
  <si>
    <t>Fintegra Financiamiento, S.A. de C.V., SOFOM, E.N.R</t>
  </si>
  <si>
    <t>MAY 13-2014</t>
  </si>
  <si>
    <t>Acta de Sesión Ordinaria N° 33 celebrada el 03 de abril de 2014</t>
  </si>
  <si>
    <t>53 meses</t>
  </si>
  <si>
    <t>041/2012</t>
  </si>
  <si>
    <t>Financiera Bajío. S.A.</t>
  </si>
  <si>
    <t>SEP 10-2012</t>
  </si>
  <si>
    <t>Acta de Sesión ordinaria N° 47 celebrada el 21 de junio de 2012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</si>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</sst>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0">
    <font>
      <sz val="11"/>
      <color theme="1"/>
      <name val="Calibri"/>
      <scheme val="minor"/>
    </font>
    <font>
      <b/>
      <sz val="10"/>
      <color rgb="FFFFFFFF"/>
      <name val="Arial"/>
    </font>
    <font>
      <b/>
      <sz val="10"/>
      <color theme="0"/>
      <name val="Arial"/>
    </font>
    <font>
      <b/>
      <sz val="24"/>
      <color rgb="FFFFFFFF"/>
      <name val="Arial"/>
    </font>
    <font>
      <sz val="11"/>
      <color rgb="FFFFFFFF"/>
      <name val="Arial"/>
    </font>
    <font>
      <sz val="11"/>
      <color theme="1"/>
      <name val="Arial"/>
    </font>
    <font>
      <b/>
      <sz val="14"/>
      <color rgb="FFFFFFFF"/>
      <name val="Arial"/>
    </font>
    <font>
      <b/>
      <sz val="14"/>
      <color theme="0"/>
      <name val="Arial"/>
    </font>
    <font>
      <b/>
      <sz val="14"/>
      <color rgb="FF000000"/>
      <name val="Arial"/>
    </font>
    <font>
      <sz val="11"/>
      <name val="Calibri"/>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scheme val="minor"/>
    </font>
    <font>
      <sz val="10"/>
      <color theme="1"/>
      <name val="Calibri"/>
      <scheme val="minor"/>
    </font>
    <font>
      <sz val="9"/>
      <color theme="1"/>
      <name val="Arial"/>
    </font>
    <font>
      <b/>
      <sz val="11"/>
      <color theme="1"/>
      <name val="Calibri"/>
      <family val="2"/>
      <scheme val="minor"/>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style="thin">
        <color rgb="FFFFFFFF"/>
      </right>
      <top style="thin">
        <color rgb="FFFFFFFF"/>
      </top>
      <bottom style="thin">
        <color rgb="FFFFFFFF"/>
      </bottom>
      <diagonal/>
    </border>
  </borders>
  <cellStyleXfs count="2">
    <xf numFmtId="0" fontId="0" fillId="0" borderId="0"/>
    <xf numFmtId="43" fontId="16" fillId="0" borderId="0" applyFont="0" applyFill="0" applyBorder="0" applyAlignment="0" applyProtection="0"/>
  </cellStyleXfs>
  <cellXfs count="267">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3" borderId="1" xfId="0" applyNumberFormat="1" applyFont="1" applyFill="1" applyBorder="1" applyAlignment="1"/>
    <xf numFmtId="0" fontId="5" fillId="3" borderId="1" xfId="0" applyFont="1" applyFill="1" applyBorder="1" applyAlignment="1">
      <alignment horizontal="center"/>
    </xf>
    <xf numFmtId="0" fontId="5" fillId="3" borderId="1" xfId="0" applyFont="1" applyFill="1" applyBorder="1"/>
    <xf numFmtId="0" fontId="5" fillId="3" borderId="2" xfId="0" applyFont="1" applyFill="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4" borderId="4" xfId="0" applyFont="1" applyFill="1" applyBorder="1" applyAlignment="1">
      <alignment horizontal="left" vertical="center"/>
    </xf>
    <xf numFmtId="0" fontId="7" fillId="4" borderId="5" xfId="0" applyFont="1" applyFill="1" applyBorder="1" applyAlignment="1">
      <alignment horizontal="left" vertical="center"/>
    </xf>
    <xf numFmtId="166" fontId="7" fillId="4" borderId="5" xfId="0" applyNumberFormat="1" applyFont="1" applyFill="1" applyBorder="1" applyAlignment="1">
      <alignment horizontal="right" vertical="center"/>
    </xf>
    <xf numFmtId="166" fontId="5" fillId="3" borderId="9" xfId="0" applyNumberFormat="1" applyFont="1" applyFill="1" applyBorder="1" applyAlignment="1">
      <alignment horizontal="right" vertical="center"/>
    </xf>
    <xf numFmtId="166" fontId="5" fillId="3" borderId="10" xfId="0" applyNumberFormat="1" applyFont="1" applyFill="1" applyBorder="1" applyAlignment="1">
      <alignment horizontal="right" vertical="center"/>
    </xf>
    <xf numFmtId="166" fontId="11" fillId="3" borderId="9" xfId="0" applyNumberFormat="1" applyFont="1" applyFill="1" applyBorder="1" applyAlignment="1">
      <alignment horizontal="right" vertical="center"/>
    </xf>
    <xf numFmtId="0" fontId="8" fillId="0" borderId="12" xfId="0" applyFont="1" applyBorder="1" applyAlignment="1">
      <alignment horizontal="left" vertical="center" wrapText="1"/>
    </xf>
    <xf numFmtId="0" fontId="5" fillId="3" borderId="12" xfId="0" applyFont="1" applyFill="1" applyBorder="1"/>
    <xf numFmtId="166" fontId="5" fillId="3" borderId="12" xfId="0" applyNumberFormat="1" applyFont="1" applyFill="1" applyBorder="1" applyAlignment="1">
      <alignment horizontal="right" vertical="center"/>
    </xf>
    <xf numFmtId="0" fontId="8" fillId="0" borderId="6" xfId="0" applyFont="1" applyBorder="1" applyAlignment="1">
      <alignment horizontal="left" vertical="center"/>
    </xf>
    <xf numFmtId="0" fontId="5" fillId="3" borderId="6" xfId="0" applyFont="1" applyFill="1" applyBorder="1"/>
    <xf numFmtId="166" fontId="5" fillId="3" borderId="6" xfId="0" applyNumberFormat="1" applyFont="1" applyFill="1" applyBorder="1"/>
    <xf numFmtId="0" fontId="8" fillId="0" borderId="10" xfId="0" applyFont="1" applyBorder="1" applyAlignment="1">
      <alignment horizontal="left" vertical="center"/>
    </xf>
    <xf numFmtId="0" fontId="5" fillId="3" borderId="10" xfId="0" applyFont="1" applyFill="1" applyBorder="1"/>
    <xf numFmtId="166" fontId="5" fillId="3" borderId="10" xfId="0" applyNumberFormat="1" applyFont="1" applyFill="1" applyBorder="1" applyAlignment="1"/>
    <xf numFmtId="166" fontId="5" fillId="3" borderId="10" xfId="0" applyNumberFormat="1" applyFont="1" applyFill="1" applyBorder="1"/>
    <xf numFmtId="0" fontId="8" fillId="0" borderId="13" xfId="0" applyFont="1" applyBorder="1" applyAlignment="1">
      <alignment horizontal="left" vertical="center"/>
    </xf>
    <xf numFmtId="166" fontId="5" fillId="3" borderId="10" xfId="0" applyNumberFormat="1" applyFont="1" applyFill="1" applyBorder="1" applyAlignment="1">
      <alignment vertical="center"/>
    </xf>
    <xf numFmtId="166" fontId="11" fillId="3" borderId="10" xfId="0" applyNumberFormat="1" applyFont="1" applyFill="1" applyBorder="1"/>
    <xf numFmtId="166" fontId="13" fillId="2" borderId="3"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6" fillId="4" borderId="2" xfId="0" applyFont="1" applyFill="1" applyBorder="1" applyAlignment="1">
      <alignment horizontal="left" vertical="center"/>
    </xf>
    <xf numFmtId="0" fontId="7" fillId="4" borderId="15" xfId="0" applyFont="1" applyFill="1" applyBorder="1" applyAlignment="1">
      <alignment horizontal="left" vertical="center"/>
    </xf>
    <xf numFmtId="4" fontId="2" fillId="4" borderId="15" xfId="0" applyNumberFormat="1" applyFont="1" applyFill="1" applyBorder="1" applyAlignment="1">
      <alignment horizontal="center" vertical="center"/>
    </xf>
    <xf numFmtId="167" fontId="2" fillId="4" borderId="15" xfId="0" applyNumberFormat="1" applyFont="1" applyFill="1" applyBorder="1" applyAlignment="1">
      <alignment horizontal="left" vertical="center"/>
    </xf>
    <xf numFmtId="0" fontId="14" fillId="3" borderId="16" xfId="0" applyFont="1" applyFill="1" applyBorder="1" applyAlignment="1">
      <alignment horizontal="center" vertical="center"/>
    </xf>
    <xf numFmtId="0" fontId="14" fillId="3" borderId="16" xfId="0" applyFont="1" applyFill="1" applyBorder="1" applyAlignment="1">
      <alignment horizontal="left" vertical="center" wrapText="1"/>
    </xf>
    <xf numFmtId="0" fontId="14" fillId="3" borderId="16" xfId="0" applyFont="1" applyFill="1" applyBorder="1" applyAlignment="1">
      <alignment horizontal="left" vertical="center" wrapText="1"/>
    </xf>
    <xf numFmtId="4" fontId="14" fillId="5" borderId="16" xfId="0" applyNumberFormat="1" applyFont="1" applyFill="1" applyBorder="1" applyAlignment="1">
      <alignment horizontal="right" vertical="center"/>
    </xf>
    <xf numFmtId="4" fontId="14" fillId="3" borderId="16" xfId="0" applyNumberFormat="1" applyFont="1" applyFill="1" applyBorder="1" applyAlignment="1">
      <alignment horizontal="right" vertical="center"/>
    </xf>
    <xf numFmtId="167" fontId="14" fillId="0" borderId="16" xfId="0" applyNumberFormat="1" applyFont="1" applyBorder="1" applyAlignment="1">
      <alignment horizontal="center" vertical="center"/>
    </xf>
    <xf numFmtId="167" fontId="14" fillId="0" borderId="16" xfId="0" applyNumberFormat="1" applyFont="1" applyBorder="1" applyAlignment="1">
      <alignment horizontal="center" vertical="center"/>
    </xf>
    <xf numFmtId="0" fontId="14" fillId="3" borderId="16" xfId="0" applyFont="1" applyFill="1" applyBorder="1" applyAlignment="1">
      <alignment horizontal="center" vertical="center"/>
    </xf>
    <xf numFmtId="3" fontId="14" fillId="3" borderId="16" xfId="0" applyNumberFormat="1" applyFont="1" applyFill="1" applyBorder="1" applyAlignment="1">
      <alignment horizontal="center" vertical="center" wrapText="1"/>
    </xf>
    <xf numFmtId="3" fontId="14" fillId="3" borderId="16" xfId="0" applyNumberFormat="1" applyFont="1" applyFill="1" applyBorder="1" applyAlignment="1">
      <alignment horizontal="center" vertical="center"/>
    </xf>
    <xf numFmtId="14" fontId="14" fillId="3" borderId="16" xfId="0" applyNumberFormat="1" applyFont="1" applyFill="1" applyBorder="1" applyAlignment="1">
      <alignment horizontal="center" vertical="center"/>
    </xf>
    <xf numFmtId="0" fontId="15" fillId="3" borderId="16" xfId="0" applyFont="1" applyFill="1" applyBorder="1" applyAlignment="1">
      <alignment horizontal="center" vertical="center" wrapText="1"/>
    </xf>
    <xf numFmtId="10" fontId="14" fillId="3" borderId="16" xfId="0" applyNumberFormat="1" applyFont="1" applyFill="1" applyBorder="1" applyAlignment="1">
      <alignment horizontal="center" vertical="center"/>
    </xf>
    <xf numFmtId="14" fontId="14" fillId="3" borderId="16" xfId="0" applyNumberFormat="1" applyFont="1" applyFill="1" applyBorder="1" applyAlignment="1">
      <alignment horizontal="center" vertical="center"/>
    </xf>
    <xf numFmtId="3" fontId="14" fillId="3" borderId="16" xfId="0" applyNumberFormat="1" applyFont="1" applyFill="1" applyBorder="1" applyAlignment="1">
      <alignment horizontal="center" vertical="center"/>
    </xf>
    <xf numFmtId="10" fontId="15" fillId="3" borderId="16" xfId="0" applyNumberFormat="1" applyFont="1" applyFill="1" applyBorder="1" applyAlignment="1">
      <alignment horizontal="center" vertical="center"/>
    </xf>
    <xf numFmtId="4" fontId="14" fillId="5" borderId="16" xfId="0" applyNumberFormat="1" applyFont="1" applyFill="1" applyBorder="1" applyAlignment="1">
      <alignment vertical="center"/>
    </xf>
    <xf numFmtId="167" fontId="14" fillId="5" borderId="16" xfId="0" applyNumberFormat="1" applyFont="1" applyFill="1" applyBorder="1" applyAlignment="1">
      <alignment horizontal="center" vertical="center"/>
    </xf>
    <xf numFmtId="0" fontId="16" fillId="0" borderId="11" xfId="0" applyFont="1" applyBorder="1" applyAlignment="1">
      <alignment horizontal="center" vertical="center" wrapText="1"/>
    </xf>
    <xf numFmtId="0" fontId="14" fillId="3" borderId="16" xfId="0" applyFont="1" applyFill="1" applyBorder="1"/>
    <xf numFmtId="4" fontId="14" fillId="0" borderId="16" xfId="0" applyNumberFormat="1" applyFont="1" applyBorder="1" applyAlignment="1">
      <alignment vertical="center"/>
    </xf>
    <xf numFmtId="14" fontId="14" fillId="3" borderId="16" xfId="0" applyNumberFormat="1" applyFont="1" applyFill="1" applyBorder="1" applyAlignment="1">
      <alignment horizontal="center" vertical="center"/>
    </xf>
    <xf numFmtId="167" fontId="14" fillId="5" borderId="16" xfId="0" applyNumberFormat="1" applyFont="1" applyFill="1" applyBorder="1" applyAlignment="1">
      <alignment horizontal="center" vertical="center"/>
    </xf>
    <xf numFmtId="168" fontId="14" fillId="0" borderId="16" xfId="0" applyNumberFormat="1" applyFont="1" applyBorder="1" applyAlignment="1">
      <alignment vertical="center"/>
    </xf>
    <xf numFmtId="4" fontId="2" fillId="4" borderId="15" xfId="0" applyNumberFormat="1" applyFont="1" applyFill="1" applyBorder="1" applyAlignment="1">
      <alignment horizontal="left" vertical="center"/>
    </xf>
    <xf numFmtId="0" fontId="14" fillId="3" borderId="16" xfId="0" applyFont="1" applyFill="1" applyBorder="1" applyAlignment="1">
      <alignment horizontal="left" vertical="center"/>
    </xf>
    <xf numFmtId="4" fontId="14" fillId="5" borderId="16" xfId="0" applyNumberFormat="1" applyFont="1" applyFill="1" applyBorder="1" applyAlignment="1">
      <alignment vertical="center"/>
    </xf>
    <xf numFmtId="4" fontId="14" fillId="3" borderId="16" xfId="0" applyNumberFormat="1" applyFont="1" applyFill="1" applyBorder="1" applyAlignment="1">
      <alignment vertical="center"/>
    </xf>
    <xf numFmtId="0" fontId="14" fillId="3" borderId="16" xfId="0" applyFont="1" applyFill="1" applyBorder="1" applyAlignment="1">
      <alignment horizontal="center" vertical="center" wrapText="1"/>
    </xf>
    <xf numFmtId="17" fontId="14"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wrapText="1"/>
    </xf>
    <xf numFmtId="10" fontId="14" fillId="3" borderId="9" xfId="0" applyNumberFormat="1" applyFont="1" applyFill="1" applyBorder="1" applyAlignment="1">
      <alignment horizontal="center" vertical="center"/>
    </xf>
    <xf numFmtId="0" fontId="14" fillId="3" borderId="16" xfId="0" applyFont="1" applyFill="1" applyBorder="1" applyAlignment="1">
      <alignment horizontal="center"/>
    </xf>
    <xf numFmtId="0" fontId="14" fillId="5" borderId="16" xfId="0" applyFont="1" applyFill="1" applyBorder="1" applyAlignment="1">
      <alignment horizontal="center" vertical="center" wrapText="1"/>
    </xf>
    <xf numFmtId="4" fontId="14" fillId="0" borderId="17" xfId="0" applyNumberFormat="1" applyFont="1" applyBorder="1" applyAlignment="1">
      <alignment vertical="center"/>
    </xf>
    <xf numFmtId="167" fontId="14" fillId="0" borderId="17" xfId="0" applyNumberFormat="1" applyFont="1" applyBorder="1" applyAlignment="1">
      <alignment horizontal="center" vertical="center"/>
    </xf>
    <xf numFmtId="0" fontId="14" fillId="3" borderId="17" xfId="0" applyFont="1" applyFill="1" applyBorder="1" applyAlignment="1">
      <alignment horizontal="center" vertical="center"/>
    </xf>
    <xf numFmtId="0" fontId="14" fillId="3" borderId="17" xfId="0" applyFont="1" applyFill="1" applyBorder="1" applyAlignment="1">
      <alignment horizontal="left" vertical="center" wrapText="1"/>
    </xf>
    <xf numFmtId="4" fontId="14" fillId="5" borderId="13" xfId="0" applyNumberFormat="1" applyFont="1" applyFill="1" applyBorder="1" applyAlignment="1">
      <alignment vertical="center"/>
    </xf>
    <xf numFmtId="4" fontId="14" fillId="0" borderId="18" xfId="0" applyNumberFormat="1" applyFont="1" applyBorder="1" applyAlignment="1">
      <alignment vertical="center"/>
    </xf>
    <xf numFmtId="167" fontId="14" fillId="0" borderId="19" xfId="0" applyNumberFormat="1" applyFont="1" applyBorder="1" applyAlignment="1">
      <alignment horizontal="center" vertical="center"/>
    </xf>
    <xf numFmtId="4" fontId="14" fillId="5" borderId="19" xfId="0" applyNumberFormat="1" applyFont="1" applyFill="1" applyBorder="1" applyAlignment="1">
      <alignment vertical="center"/>
    </xf>
    <xf numFmtId="0" fontId="14" fillId="3" borderId="17" xfId="0" applyFont="1" applyFill="1" applyBorder="1" applyAlignment="1">
      <alignment horizontal="center" vertical="center" wrapText="1"/>
    </xf>
    <xf numFmtId="3" fontId="14" fillId="3" borderId="17" xfId="0" applyNumberFormat="1" applyFont="1" applyFill="1" applyBorder="1" applyAlignment="1">
      <alignment horizontal="center" vertical="center"/>
    </xf>
    <xf numFmtId="14" fontId="14" fillId="3" borderId="17" xfId="0" applyNumberFormat="1" applyFont="1" applyFill="1" applyBorder="1" applyAlignment="1">
      <alignment horizontal="center" vertical="center"/>
    </xf>
    <xf numFmtId="0" fontId="15" fillId="3" borderId="17" xfId="0" applyFont="1" applyFill="1" applyBorder="1" applyAlignment="1">
      <alignment horizontal="center" vertical="center" wrapText="1"/>
    </xf>
    <xf numFmtId="10" fontId="14" fillId="3" borderId="17" xfId="0" applyNumberFormat="1" applyFont="1" applyFill="1" applyBorder="1" applyAlignment="1">
      <alignment horizontal="center" vertical="center" wrapText="1"/>
    </xf>
    <xf numFmtId="0" fontId="14" fillId="3" borderId="17" xfId="0" applyFont="1" applyFill="1" applyBorder="1"/>
    <xf numFmtId="0" fontId="16" fillId="0" borderId="20" xfId="0" applyFont="1" applyBorder="1"/>
    <xf numFmtId="0" fontId="16" fillId="0" borderId="21" xfId="0" applyFont="1" applyBorder="1"/>
    <xf numFmtId="0" fontId="16" fillId="5" borderId="20" xfId="0" applyFont="1" applyFill="1" applyBorder="1"/>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14" fillId="3" borderId="17" xfId="0" applyFont="1" applyFill="1" applyBorder="1" applyAlignment="1">
      <alignment horizontal="center" vertical="center"/>
    </xf>
    <xf numFmtId="4" fontId="14" fillId="3" borderId="16" xfId="0" applyNumberFormat="1" applyFont="1" applyFill="1" applyBorder="1" applyAlignment="1">
      <alignment vertical="center"/>
    </xf>
    <xf numFmtId="4" fontId="14" fillId="0" borderId="16" xfId="0" applyNumberFormat="1" applyFont="1" applyBorder="1" applyAlignment="1">
      <alignment vertical="center"/>
    </xf>
    <xf numFmtId="0" fontId="14" fillId="3" borderId="16" xfId="0" applyFont="1" applyFill="1" applyBorder="1" applyAlignment="1">
      <alignment horizontal="center" vertical="center" wrapText="1"/>
    </xf>
    <xf numFmtId="0" fontId="6" fillId="4" borderId="24" xfId="0" applyFont="1" applyFill="1" applyBorder="1" applyAlignment="1">
      <alignment horizontal="left" vertical="center"/>
    </xf>
    <xf numFmtId="167" fontId="14" fillId="0" borderId="20" xfId="0" applyNumberFormat="1" applyFont="1" applyBorder="1" applyAlignment="1">
      <alignment horizontal="center"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wrapText="1"/>
    </xf>
    <xf numFmtId="0" fontId="7" fillId="4" borderId="24" xfId="0" applyFont="1" applyFill="1" applyBorder="1" applyAlignment="1">
      <alignment horizontal="left" vertical="center"/>
    </xf>
    <xf numFmtId="0" fontId="14"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0" fontId="14" fillId="3" borderId="9" xfId="0" applyFont="1" applyFill="1" applyBorder="1" applyAlignment="1">
      <alignment horizontal="left" vertical="center"/>
    </xf>
    <xf numFmtId="4" fontId="14" fillId="3" borderId="9" xfId="0" applyNumberFormat="1" applyFont="1" applyFill="1" applyBorder="1" applyAlignment="1">
      <alignment vertical="center"/>
    </xf>
    <xf numFmtId="4" fontId="14" fillId="5" borderId="9" xfId="0" applyNumberFormat="1" applyFont="1" applyFill="1" applyBorder="1" applyAlignment="1">
      <alignment vertical="center"/>
    </xf>
    <xf numFmtId="0" fontId="14" fillId="3" borderId="9" xfId="0" applyFont="1" applyFill="1" applyBorder="1" applyAlignment="1">
      <alignment horizontal="center" vertical="center"/>
    </xf>
    <xf numFmtId="0" fontId="14" fillId="3" borderId="9" xfId="0" applyFont="1" applyFill="1" applyBorder="1" applyAlignment="1">
      <alignment horizontal="center" vertical="center" wrapText="1"/>
    </xf>
    <xf numFmtId="3" fontId="14" fillId="3" borderId="9" xfId="0" applyNumberFormat="1" applyFont="1" applyFill="1" applyBorder="1" applyAlignment="1">
      <alignment horizontal="center" vertical="center"/>
    </xf>
    <xf numFmtId="17" fontId="14" fillId="3" borderId="9" xfId="0" applyNumberFormat="1" applyFont="1" applyFill="1" applyBorder="1" applyAlignment="1">
      <alignment horizontal="center" vertical="center"/>
    </xf>
    <xf numFmtId="0" fontId="15" fillId="3" borderId="9" xfId="0" applyFont="1" applyFill="1" applyBorder="1" applyAlignment="1">
      <alignment horizontal="center" vertical="center"/>
    </xf>
    <xf numFmtId="10" fontId="14" fillId="3" borderId="9" xfId="0" applyNumberFormat="1" applyFont="1" applyFill="1" applyBorder="1" applyAlignment="1">
      <alignment horizontal="right" vertical="center"/>
    </xf>
    <xf numFmtId="0" fontId="14" fillId="3" borderId="16" xfId="0" applyFont="1" applyFill="1" applyBorder="1" applyAlignment="1">
      <alignment horizontal="left" vertical="center"/>
    </xf>
    <xf numFmtId="10" fontId="14" fillId="3" borderId="16" xfId="0" applyNumberFormat="1" applyFont="1" applyFill="1" applyBorder="1" applyAlignment="1">
      <alignment horizontal="right" vertical="center"/>
    </xf>
    <xf numFmtId="4" fontId="14" fillId="3" borderId="17" xfId="0" applyNumberFormat="1" applyFont="1" applyFill="1" applyBorder="1" applyAlignment="1">
      <alignment vertical="center"/>
    </xf>
    <xf numFmtId="4" fontId="14" fillId="5" borderId="17" xfId="0" applyNumberFormat="1" applyFont="1" applyFill="1" applyBorder="1" applyAlignment="1">
      <alignment vertical="center"/>
    </xf>
    <xf numFmtId="17" fontId="14" fillId="3" borderId="17" xfId="0" applyNumberFormat="1" applyFont="1" applyFill="1" applyBorder="1" applyAlignment="1">
      <alignment horizontal="center" vertical="center"/>
    </xf>
    <xf numFmtId="0" fontId="15" fillId="3" borderId="3" xfId="0" applyFont="1" applyFill="1" applyBorder="1" applyAlignment="1">
      <alignment horizontal="center" vertical="center"/>
    </xf>
    <xf numFmtId="10" fontId="14" fillId="3" borderId="17" xfId="0" applyNumberFormat="1" applyFont="1" applyFill="1" applyBorder="1" applyAlignment="1">
      <alignment horizontal="right" vertical="center"/>
    </xf>
    <xf numFmtId="0" fontId="17" fillId="0" borderId="20" xfId="0" applyFont="1" applyBorder="1"/>
    <xf numFmtId="0" fontId="16" fillId="0" borderId="20" xfId="0" applyFont="1" applyBorder="1" applyAlignment="1"/>
    <xf numFmtId="0" fontId="7" fillId="4" borderId="2" xfId="0" applyFont="1" applyFill="1" applyBorder="1" applyAlignment="1">
      <alignment horizontal="left" vertical="center"/>
    </xf>
    <xf numFmtId="0" fontId="7" fillId="4" borderId="15" xfId="0" applyFont="1" applyFill="1" applyBorder="1" applyAlignment="1">
      <alignment horizontal="center" vertical="center" wrapText="1"/>
    </xf>
    <xf numFmtId="0" fontId="7" fillId="4" borderId="0" xfId="0" applyFont="1" applyFill="1" applyAlignment="1">
      <alignment horizontal="left" vertical="center"/>
    </xf>
    <xf numFmtId="0" fontId="14" fillId="3" borderId="9" xfId="0" applyFont="1" applyFill="1" applyBorder="1" applyAlignment="1">
      <alignment vertical="center"/>
    </xf>
    <xf numFmtId="4" fontId="14" fillId="0" borderId="9" xfId="0" applyNumberFormat="1" applyFont="1" applyBorder="1" applyAlignment="1">
      <alignment vertical="center"/>
    </xf>
    <xf numFmtId="17" fontId="14" fillId="5" borderId="9" xfId="0" applyNumberFormat="1" applyFont="1" applyFill="1" applyBorder="1" applyAlignment="1">
      <alignment horizontal="center" vertical="center"/>
    </xf>
    <xf numFmtId="0" fontId="15" fillId="5" borderId="9" xfId="0" applyFont="1" applyFill="1" applyBorder="1" applyAlignment="1">
      <alignment horizontal="center" vertical="center" wrapText="1"/>
    </xf>
    <xf numFmtId="0" fontId="15" fillId="5" borderId="9" xfId="0" applyFont="1" applyFill="1" applyBorder="1" applyAlignment="1">
      <alignment horizontal="center" vertical="center"/>
    </xf>
    <xf numFmtId="0" fontId="15" fillId="3" borderId="25" xfId="0" applyFont="1" applyFill="1" applyBorder="1" applyAlignment="1">
      <alignment horizontal="right" vertical="center"/>
    </xf>
    <xf numFmtId="17" fontId="14" fillId="5" borderId="16" xfId="0" applyNumberFormat="1" applyFont="1" applyFill="1" applyBorder="1" applyAlignment="1">
      <alignment horizontal="center" vertical="center"/>
    </xf>
    <xf numFmtId="0" fontId="15" fillId="3" borderId="11" xfId="0" applyFont="1" applyFill="1" applyBorder="1" applyAlignment="1">
      <alignment horizontal="right" vertical="center"/>
    </xf>
    <xf numFmtId="0" fontId="14" fillId="3" borderId="9" xfId="0" applyFont="1" applyFill="1" applyBorder="1" applyAlignment="1">
      <alignment horizontal="left" vertical="center" wrapText="1"/>
    </xf>
    <xf numFmtId="14" fontId="14" fillId="5" borderId="16"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0" fontId="14" fillId="3" borderId="1" xfId="0" applyFont="1" applyFill="1" applyBorder="1" applyAlignment="1">
      <alignment vertical="center"/>
    </xf>
    <xf numFmtId="0" fontId="7" fillId="4" borderId="26" xfId="0" applyFont="1" applyFill="1" applyBorder="1" applyAlignment="1">
      <alignment horizontal="left" vertical="center"/>
    </xf>
    <xf numFmtId="0" fontId="14" fillId="3" borderId="18" xfId="0" applyFont="1" applyFill="1" applyBorder="1" applyAlignment="1">
      <alignment vertical="center"/>
    </xf>
    <xf numFmtId="0" fontId="1" fillId="4" borderId="0" xfId="0" applyFont="1" applyFill="1" applyAlignment="1">
      <alignment horizontal="center" vertical="center" wrapText="1"/>
    </xf>
    <xf numFmtId="0" fontId="14" fillId="5" borderId="9" xfId="0" applyFont="1" applyFill="1" applyBorder="1" applyAlignment="1">
      <alignment vertical="center"/>
    </xf>
    <xf numFmtId="167" fontId="14" fillId="3" borderId="9" xfId="0" applyNumberFormat="1" applyFont="1" applyFill="1" applyBorder="1" applyAlignment="1">
      <alignment vertical="center"/>
    </xf>
    <xf numFmtId="167" fontId="14"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4" fillId="5" borderId="16" xfId="0" applyFont="1" applyFill="1" applyBorder="1" applyAlignment="1">
      <alignment vertical="center"/>
    </xf>
    <xf numFmtId="167" fontId="14"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4" fillId="3" borderId="16" xfId="0" applyNumberFormat="1" applyFont="1" applyFill="1" applyBorder="1" applyAlignment="1">
      <alignment horizontal="center" vertical="center"/>
    </xf>
    <xf numFmtId="0" fontId="14" fillId="5" borderId="16" xfId="0" applyFont="1" applyFill="1" applyBorder="1" applyAlignment="1">
      <alignment vertical="center"/>
    </xf>
    <xf numFmtId="167" fontId="14" fillId="3" borderId="9" xfId="0" applyNumberFormat="1" applyFont="1" applyFill="1" applyBorder="1" applyAlignment="1">
      <alignment vertical="center"/>
    </xf>
    <xf numFmtId="10" fontId="14" fillId="3" borderId="16" xfId="0" applyNumberFormat="1" applyFont="1" applyFill="1" applyBorder="1" applyAlignment="1">
      <alignment horizontal="right" vertical="center"/>
    </xf>
    <xf numFmtId="167" fontId="14" fillId="3" borderId="16" xfId="0" applyNumberFormat="1" applyFont="1" applyFill="1" applyBorder="1" applyAlignment="1">
      <alignment vertical="center"/>
    </xf>
    <xf numFmtId="169" fontId="14" fillId="3" borderId="16" xfId="0" applyNumberFormat="1" applyFont="1" applyFill="1" applyBorder="1" applyAlignment="1">
      <alignment horizontal="center" vertical="center"/>
    </xf>
    <xf numFmtId="10" fontId="15" fillId="3" borderId="16" xfId="0" applyNumberFormat="1" applyFont="1" applyFill="1" applyBorder="1" applyAlignment="1">
      <alignment horizontal="right" vertical="center"/>
    </xf>
    <xf numFmtId="0" fontId="14" fillId="0" borderId="16"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vertical="center"/>
    </xf>
    <xf numFmtId="0" fontId="14" fillId="0" borderId="16" xfId="0" applyFont="1" applyBorder="1" applyAlignment="1">
      <alignment horizontal="left" vertical="center" wrapText="1"/>
    </xf>
    <xf numFmtId="167" fontId="14" fillId="0" borderId="16" xfId="0" applyNumberFormat="1" applyFont="1" applyBorder="1" applyAlignment="1">
      <alignment vertical="center"/>
    </xf>
    <xf numFmtId="167" fontId="14" fillId="0" borderId="9" xfId="0" applyNumberFormat="1" applyFont="1" applyBorder="1" applyAlignment="1">
      <alignment vertical="center"/>
    </xf>
    <xf numFmtId="0" fontId="18" fillId="0" borderId="16" xfId="0" applyFont="1" applyBorder="1" applyAlignment="1">
      <alignment horizontal="center" vertical="center"/>
    </xf>
    <xf numFmtId="0" fontId="15" fillId="0" borderId="9" xfId="0" applyFont="1" applyBorder="1" applyAlignment="1">
      <alignment horizontal="center" vertical="center"/>
    </xf>
    <xf numFmtId="10" fontId="14" fillId="0" borderId="16" xfId="0" applyNumberFormat="1" applyFont="1" applyBorder="1" applyAlignment="1">
      <alignment horizontal="right" vertical="center"/>
    </xf>
    <xf numFmtId="167" fontId="14" fillId="5" borderId="9" xfId="0" applyNumberFormat="1" applyFont="1" applyFill="1" applyBorder="1" applyAlignment="1">
      <alignment vertical="center"/>
    </xf>
    <xf numFmtId="0" fontId="18" fillId="3" borderId="16" xfId="0" applyFont="1" applyFill="1" applyBorder="1" applyAlignment="1">
      <alignment horizontal="center" vertical="center"/>
    </xf>
    <xf numFmtId="10" fontId="15" fillId="0" borderId="16" xfId="0" applyNumberFormat="1" applyFont="1" applyBorder="1" applyAlignment="1">
      <alignment horizontal="right" vertical="center"/>
    </xf>
    <xf numFmtId="0" fontId="14" fillId="3" borderId="20" xfId="0" applyFont="1" applyFill="1" applyBorder="1" applyAlignment="1">
      <alignment vertical="center"/>
    </xf>
    <xf numFmtId="0" fontId="14" fillId="3" borderId="21" xfId="0" applyFont="1" applyFill="1" applyBorder="1" applyAlignment="1">
      <alignment vertical="center"/>
    </xf>
    <xf numFmtId="4" fontId="16" fillId="0" borderId="20" xfId="0" applyNumberFormat="1" applyFont="1" applyBorder="1" applyAlignment="1"/>
    <xf numFmtId="4" fontId="16" fillId="0" borderId="20" xfId="0" applyNumberFormat="1" applyFont="1" applyBorder="1"/>
    <xf numFmtId="0" fontId="2" fillId="2" borderId="4" xfId="0" applyFont="1" applyFill="1" applyBorder="1" applyAlignment="1">
      <alignment horizontal="center" vertical="center"/>
    </xf>
    <xf numFmtId="0" fontId="1" fillId="5" borderId="20" xfId="0" applyFont="1" applyFill="1" applyBorder="1" applyAlignment="1">
      <alignment horizontal="center" vertical="center" wrapText="1"/>
    </xf>
    <xf numFmtId="0" fontId="6" fillId="4" borderId="1" xfId="0" applyFont="1" applyFill="1" applyBorder="1" applyAlignment="1">
      <alignment horizontal="left" vertical="center"/>
    </xf>
    <xf numFmtId="0" fontId="7" fillId="4" borderId="1" xfId="0" applyFont="1" applyFill="1" applyBorder="1" applyAlignment="1">
      <alignment horizontal="left" vertical="center"/>
    </xf>
    <xf numFmtId="0" fontId="7" fillId="5" borderId="20" xfId="0" applyFont="1" applyFill="1" applyBorder="1" applyAlignment="1">
      <alignment horizontal="left" vertical="center"/>
    </xf>
    <xf numFmtId="0" fontId="14" fillId="3" borderId="9" xfId="0" applyFont="1" applyFill="1" applyBorder="1" applyAlignment="1">
      <alignment vertical="center"/>
    </xf>
    <xf numFmtId="0" fontId="14" fillId="5" borderId="27" xfId="0" applyFont="1" applyFill="1" applyBorder="1" applyAlignment="1">
      <alignment horizontal="center" vertical="center" wrapText="1"/>
    </xf>
    <xf numFmtId="0" fontId="15" fillId="3" borderId="9" xfId="0" applyFont="1" applyFill="1" applyBorder="1" applyAlignment="1">
      <alignment horizontal="center" vertical="center" wrapText="1"/>
    </xf>
    <xf numFmtId="10" fontId="14" fillId="3" borderId="6" xfId="0" applyNumberFormat="1" applyFont="1" applyFill="1" applyBorder="1" applyAlignment="1">
      <alignment horizontal="right" vertical="center"/>
    </xf>
    <xf numFmtId="10" fontId="14" fillId="5" borderId="20" xfId="0" applyNumberFormat="1" applyFont="1" applyFill="1" applyBorder="1" applyAlignment="1">
      <alignment horizontal="right" vertical="center"/>
    </xf>
    <xf numFmtId="0" fontId="14" fillId="3" borderId="27" xfId="0" applyFont="1" applyFill="1" applyBorder="1" applyAlignment="1">
      <alignment horizontal="center" vertical="center"/>
    </xf>
    <xf numFmtId="0" fontId="14" fillId="5" borderId="27" xfId="0" applyFont="1" applyFill="1" applyBorder="1" applyAlignment="1">
      <alignment vertical="center"/>
    </xf>
    <xf numFmtId="0" fontId="14" fillId="3" borderId="27" xfId="0" applyFont="1" applyFill="1" applyBorder="1" applyAlignment="1">
      <alignment vertical="center"/>
    </xf>
    <xf numFmtId="4" fontId="14" fillId="3" borderId="27" xfId="0" applyNumberFormat="1" applyFont="1" applyFill="1" applyBorder="1" applyAlignment="1">
      <alignment vertical="center"/>
    </xf>
    <xf numFmtId="3" fontId="14"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4" fontId="14" fillId="5" borderId="20" xfId="0" applyNumberFormat="1" applyFont="1" applyFill="1" applyBorder="1" applyAlignment="1">
      <alignment horizontal="right" vertical="center"/>
    </xf>
    <xf numFmtId="0" fontId="14" fillId="3" borderId="27" xfId="0" applyFont="1" applyFill="1" applyBorder="1" applyAlignment="1">
      <alignment vertical="center"/>
    </xf>
    <xf numFmtId="17" fontId="14" fillId="3"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4" fontId="14" fillId="5" borderId="20" xfId="0" applyNumberFormat="1" applyFont="1" applyFill="1" applyBorder="1" applyAlignment="1">
      <alignment horizontal="right" vertical="center"/>
    </xf>
    <xf numFmtId="0" fontId="14" fillId="3" borderId="27" xfId="0" applyFont="1" applyFill="1" applyBorder="1" applyAlignment="1">
      <alignment horizontal="center" vertical="center"/>
    </xf>
    <xf numFmtId="0" fontId="14" fillId="5" borderId="27" xfId="0" applyFont="1" applyFill="1" applyBorder="1" applyAlignment="1">
      <alignment vertical="center"/>
    </xf>
    <xf numFmtId="4" fontId="14" fillId="3" borderId="27" xfId="0" applyNumberFormat="1" applyFont="1" applyFill="1" applyBorder="1" applyAlignment="1">
      <alignment vertical="center"/>
    </xf>
    <xf numFmtId="4" fontId="14" fillId="5" borderId="27" xfId="0" applyNumberFormat="1" applyFont="1" applyFill="1" applyBorder="1" applyAlignment="1">
      <alignment vertical="center"/>
    </xf>
    <xf numFmtId="3" fontId="14" fillId="5" borderId="27" xfId="0" applyNumberFormat="1" applyFont="1" applyFill="1" applyBorder="1" applyAlignment="1">
      <alignment horizontal="center" vertical="center"/>
    </xf>
    <xf numFmtId="3" fontId="14" fillId="3" borderId="27" xfId="0" applyNumberFormat="1" applyFont="1" applyFill="1" applyBorder="1" applyAlignment="1">
      <alignment horizontal="center" vertical="center"/>
    </xf>
    <xf numFmtId="10" fontId="14" fillId="3" borderId="28" xfId="0" applyNumberFormat="1" applyFont="1" applyFill="1" applyBorder="1" applyAlignment="1">
      <alignment horizontal="right" vertical="center"/>
    </xf>
    <xf numFmtId="0" fontId="14" fillId="5" borderId="27" xfId="0" applyFont="1" applyFill="1" applyBorder="1" applyAlignment="1">
      <alignment horizontal="center" vertical="center"/>
    </xf>
    <xf numFmtId="4" fontId="14" fillId="5" borderId="27" xfId="0" applyNumberFormat="1" applyFont="1" applyFill="1" applyBorder="1" applyAlignment="1">
      <alignment vertical="center"/>
    </xf>
    <xf numFmtId="0" fontId="14" fillId="5" borderId="27" xfId="0" applyFont="1" applyFill="1" applyBorder="1" applyAlignment="1">
      <alignment horizontal="center" vertical="center"/>
    </xf>
    <xf numFmtId="0" fontId="15" fillId="5" borderId="27" xfId="0" applyFont="1" applyFill="1" applyBorder="1" applyAlignment="1">
      <alignment horizontal="center" vertical="center" wrapText="1"/>
    </xf>
    <xf numFmtId="10" fontId="14" fillId="5" borderId="28" xfId="0" applyNumberFormat="1" applyFont="1" applyFill="1" applyBorder="1" applyAlignment="1">
      <alignment horizontal="right" vertical="center"/>
    </xf>
    <xf numFmtId="17" fontId="14" fillId="5" borderId="27" xfId="0" applyNumberFormat="1" applyFont="1" applyFill="1" applyBorder="1" applyAlignment="1">
      <alignment horizontal="center" vertical="center"/>
    </xf>
    <xf numFmtId="10" fontId="14" fillId="5" borderId="28" xfId="0" applyNumberFormat="1" applyFont="1" applyFill="1" applyBorder="1" applyAlignment="1">
      <alignment horizontal="right" vertical="center"/>
    </xf>
    <xf numFmtId="0" fontId="14" fillId="3" borderId="27" xfId="0" quotePrefix="1" applyFont="1" applyFill="1" applyBorder="1" applyAlignment="1">
      <alignment horizontal="center" vertical="center"/>
    </xf>
    <xf numFmtId="3" fontId="14" fillId="5" borderId="27" xfId="0" applyNumberFormat="1" applyFont="1" applyFill="1" applyBorder="1" applyAlignment="1">
      <alignment horizontal="center" vertical="center"/>
    </xf>
    <xf numFmtId="10" fontId="14" fillId="5" borderId="27" xfId="0" applyNumberFormat="1" applyFont="1" applyFill="1" applyBorder="1" applyAlignment="1">
      <alignment horizontal="center" vertical="center" wrapText="1"/>
    </xf>
    <xf numFmtId="0" fontId="14" fillId="3" borderId="29" xfId="0" applyFont="1" applyFill="1" applyBorder="1" applyAlignment="1">
      <alignment horizontal="center" vertical="center"/>
    </xf>
    <xf numFmtId="0" fontId="14" fillId="3" borderId="0" xfId="0" applyFont="1" applyFill="1" applyAlignment="1">
      <alignment horizontal="center" vertical="center"/>
    </xf>
    <xf numFmtId="0" fontId="14" fillId="3" borderId="30" xfId="0" applyFont="1" applyFill="1" applyBorder="1" applyAlignment="1">
      <alignment vertical="center"/>
    </xf>
    <xf numFmtId="0" fontId="14" fillId="5" borderId="0" xfId="0" applyFont="1" applyFill="1" applyAlignment="1">
      <alignment vertical="center"/>
    </xf>
    <xf numFmtId="0" fontId="14" fillId="5" borderId="0" xfId="0" applyFont="1" applyFill="1" applyAlignment="1">
      <alignment horizontal="center" vertical="center"/>
    </xf>
    <xf numFmtId="4" fontId="14" fillId="5" borderId="0" xfId="0" applyNumberFormat="1" applyFont="1" applyFill="1" applyAlignment="1">
      <alignment vertical="center"/>
    </xf>
    <xf numFmtId="3" fontId="14" fillId="5" borderId="0" xfId="0" applyNumberFormat="1" applyFont="1" applyFill="1" applyAlignment="1">
      <alignment horizontal="center" vertical="center"/>
    </xf>
    <xf numFmtId="0" fontId="14" fillId="5" borderId="0" xfId="0" applyFont="1" applyFill="1" applyAlignment="1">
      <alignment horizontal="center" vertical="center" wrapText="1"/>
    </xf>
    <xf numFmtId="0" fontId="15" fillId="5" borderId="0" xfId="0" applyFont="1" applyFill="1" applyAlignment="1">
      <alignment horizontal="center" vertical="center" wrapText="1"/>
    </xf>
    <xf numFmtId="10" fontId="14" fillId="5" borderId="0" xfId="0" applyNumberFormat="1" applyFont="1" applyFill="1" applyAlignment="1">
      <alignment horizontal="right" vertical="center"/>
    </xf>
    <xf numFmtId="0" fontId="6" fillId="4" borderId="31" xfId="0" applyFont="1" applyFill="1" applyBorder="1" applyAlignment="1">
      <alignment horizontal="left" vertical="center"/>
    </xf>
    <xf numFmtId="0" fontId="6" fillId="4" borderId="22" xfId="0" applyFont="1" applyFill="1" applyBorder="1" applyAlignment="1">
      <alignment horizontal="left" vertical="center" wrapText="1"/>
    </xf>
    <xf numFmtId="0" fontId="6" fillId="4" borderId="24" xfId="0" applyFont="1" applyFill="1" applyBorder="1" applyAlignment="1">
      <alignment horizontal="left" vertical="center"/>
    </xf>
    <xf numFmtId="0" fontId="6" fillId="4" borderId="22" xfId="0" applyFont="1" applyFill="1" applyBorder="1" applyAlignment="1">
      <alignment horizontal="right" vertical="center" wrapText="1"/>
    </xf>
    <xf numFmtId="0" fontId="6" fillId="5" borderId="20" xfId="0" applyFont="1" applyFill="1" applyBorder="1" applyAlignment="1">
      <alignment horizontal="right" vertical="center" wrapText="1"/>
    </xf>
    <xf numFmtId="0" fontId="14"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4" fillId="5" borderId="6" xfId="0" applyNumberFormat="1" applyFont="1" applyFill="1" applyBorder="1" applyAlignment="1">
      <alignment horizontal="righ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vertical="center"/>
    </xf>
    <xf numFmtId="0" fontId="14" fillId="3" borderId="5" xfId="0" applyFont="1" applyFill="1" applyBorder="1" applyAlignment="1">
      <alignment vertical="center"/>
    </xf>
    <xf numFmtId="167" fontId="14" fillId="3" borderId="5" xfId="0" applyNumberFormat="1" applyFont="1" applyFill="1" applyBorder="1" applyAlignment="1">
      <alignment horizontal="center" vertical="center"/>
    </xf>
    <xf numFmtId="167" fontId="14" fillId="3" borderId="5" xfId="0" applyNumberFormat="1" applyFont="1" applyFill="1" applyBorder="1" applyAlignment="1">
      <alignment vertical="center"/>
    </xf>
    <xf numFmtId="167" fontId="14" fillId="5" borderId="0" xfId="0" applyNumberFormat="1" applyFont="1" applyFill="1" applyAlignment="1">
      <alignment vertical="center"/>
    </xf>
    <xf numFmtId="0" fontId="14" fillId="3" borderId="5" xfId="0" applyFont="1" applyFill="1" applyBorder="1" applyAlignment="1">
      <alignment horizontal="left" vertical="center"/>
    </xf>
    <xf numFmtId="0" fontId="18" fillId="3" borderId="5" xfId="0" applyFont="1" applyFill="1" applyBorder="1" applyAlignment="1">
      <alignment horizontal="center" vertical="center"/>
    </xf>
    <xf numFmtId="0" fontId="18" fillId="3" borderId="5" xfId="0" applyFont="1" applyFill="1" applyBorder="1" applyAlignment="1">
      <alignment horizontal="center" vertical="center"/>
    </xf>
    <xf numFmtId="0" fontId="15" fillId="5" borderId="5" xfId="0" applyFont="1" applyFill="1" applyBorder="1" applyAlignment="1">
      <alignment horizontal="center" vertical="center" wrapText="1"/>
    </xf>
    <xf numFmtId="10" fontId="14" fillId="5" borderId="5" xfId="0" applyNumberFormat="1" applyFont="1" applyFill="1" applyBorder="1" applyAlignment="1">
      <alignment horizontal="right" vertical="center"/>
    </xf>
    <xf numFmtId="0" fontId="6" fillId="6" borderId="2" xfId="0" applyFont="1" applyFill="1" applyBorder="1" applyAlignment="1">
      <alignment horizontal="left" vertical="center"/>
    </xf>
    <xf numFmtId="0" fontId="7" fillId="6" borderId="15" xfId="0" applyFont="1" applyFill="1" applyBorder="1" applyAlignment="1">
      <alignment horizontal="left" vertical="center"/>
    </xf>
    <xf numFmtId="0" fontId="7" fillId="6" borderId="2" xfId="0" applyFont="1" applyFill="1" applyBorder="1" applyAlignment="1">
      <alignment horizontal="left" vertical="center"/>
    </xf>
    <xf numFmtId="0" fontId="7" fillId="6" borderId="15" xfId="0" applyFont="1" applyFill="1" applyBorder="1" applyAlignment="1">
      <alignment horizontal="right" vertical="center"/>
    </xf>
    <xf numFmtId="0" fontId="7" fillId="5" borderId="20" xfId="0" applyFont="1" applyFill="1" applyBorder="1" applyAlignment="1">
      <alignment horizontal="right" vertical="center"/>
    </xf>
    <xf numFmtId="0" fontId="7" fillId="4" borderId="15" xfId="0" applyFont="1" applyFill="1" applyBorder="1" applyAlignment="1">
      <alignment horizontal="right" vertical="center"/>
    </xf>
    <xf numFmtId="4" fontId="14" fillId="5" borderId="9" xfId="0" applyNumberFormat="1" applyFont="1" applyFill="1" applyBorder="1" applyAlignment="1">
      <alignment vertical="center"/>
    </xf>
    <xf numFmtId="3" fontId="14" fillId="3" borderId="9" xfId="0" applyNumberFormat="1" applyFont="1" applyFill="1" applyBorder="1" applyAlignment="1">
      <alignment horizontal="center" vertical="center"/>
    </xf>
    <xf numFmtId="0" fontId="7" fillId="4" borderId="4" xfId="0" applyFont="1" applyFill="1" applyBorder="1" applyAlignment="1">
      <alignment horizontal="left" vertical="center"/>
    </xf>
    <xf numFmtId="0" fontId="7" fillId="5" borderId="32" xfId="0" applyFont="1" applyFill="1" applyBorder="1" applyAlignment="1">
      <alignment horizontal="left" vertical="center"/>
    </xf>
    <xf numFmtId="0" fontId="7" fillId="4" borderId="31" xfId="0" applyFont="1" applyFill="1" applyBorder="1" applyAlignment="1">
      <alignment horizontal="lef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5" borderId="20" xfId="0" applyFont="1" applyFill="1" applyBorder="1" applyAlignment="1">
      <alignment vertical="center"/>
    </xf>
    <xf numFmtId="0" fontId="0" fillId="0" borderId="0" xfId="0" applyFont="1" applyAlignment="1"/>
    <xf numFmtId="0" fontId="19" fillId="0" borderId="0" xfId="0" applyFont="1" applyAlignment="1"/>
    <xf numFmtId="43" fontId="0" fillId="0" borderId="0" xfId="1" applyFont="1" applyAlignment="1"/>
    <xf numFmtId="167" fontId="0" fillId="0" borderId="0" xfId="0" applyNumberFormat="1" applyFont="1" applyAlignment="1"/>
    <xf numFmtId="4" fontId="0" fillId="0" borderId="0" xfId="0" applyNumberFormat="1" applyFont="1" applyAlignment="1"/>
    <xf numFmtId="43" fontId="0" fillId="0" borderId="0" xfId="0" applyNumberFormat="1" applyFont="1" applyAlignment="1"/>
    <xf numFmtId="43" fontId="19" fillId="0" borderId="0" xfId="0" applyNumberFormat="1" applyFont="1" applyAlignment="1"/>
    <xf numFmtId="0" fontId="12" fillId="2" borderId="4" xfId="0" applyFont="1" applyFill="1" applyBorder="1" applyAlignment="1">
      <alignment horizontal="left" vertical="center" wrapText="1"/>
    </xf>
    <xf numFmtId="0" fontId="9" fillId="0" borderId="5" xfId="0" applyFont="1" applyBorder="1"/>
    <xf numFmtId="0" fontId="9" fillId="0" borderId="14" xfId="0" applyFont="1" applyBorder="1"/>
    <xf numFmtId="164" fontId="3" fillId="2" borderId="0" xfId="0" applyNumberFormat="1" applyFont="1" applyFill="1" applyAlignment="1">
      <alignment horizontal="left" vertical="center" wrapText="1"/>
    </xf>
    <xf numFmtId="0" fontId="0" fillId="0" borderId="0" xfId="0" applyFont="1" applyAlignment="1"/>
    <xf numFmtId="0" fontId="8" fillId="0" borderId="6" xfId="0" applyFont="1" applyBorder="1" applyAlignment="1">
      <alignment horizontal="left" vertical="center" wrapText="1"/>
    </xf>
    <xf numFmtId="0" fontId="9" fillId="0" borderId="7" xfId="0" applyFont="1" applyBorder="1"/>
    <xf numFmtId="0" fontId="9" fillId="0" borderId="8" xfId="0" applyFont="1" applyBorder="1"/>
    <xf numFmtId="0" fontId="8" fillId="0" borderId="10" xfId="0" applyFont="1" applyBorder="1" applyAlignment="1">
      <alignment horizontal="left" vertical="center" wrapText="1"/>
    </xf>
    <xf numFmtId="0" fontId="9" fillId="0" borderId="11" xfId="0" applyFont="1" applyBorder="1"/>
    <xf numFmtId="0" fontId="10" fillId="0" borderId="10" xfId="0" applyFont="1" applyBorder="1" applyAlignment="1">
      <alignment horizontal="right" vertical="center" wrapText="1"/>
    </xf>
    <xf numFmtId="0" fontId="10" fillId="0" borderId="10"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view="pageBreakPreview" topLeftCell="A2" zoomScaleNormal="100" zoomScaleSheetLayoutView="100" workbookViewId="0">
      <selection activeCell="A2" sqref="A2"/>
    </sheetView>
  </sheetViews>
  <sheetFormatPr baseColWidth="10" defaultColWidth="14.3984375" defaultRowHeight="15" customHeight="1"/>
  <cols>
    <col min="1" max="1" width="26.3984375" customWidth="1"/>
    <col min="2" max="2" width="15.3984375" customWidth="1"/>
    <col min="3" max="3" width="28.73046875" customWidth="1"/>
    <col min="4" max="4" width="27" customWidth="1"/>
    <col min="5" max="5" width="24.3984375" customWidth="1"/>
  </cols>
  <sheetData>
    <row r="1" spans="1:5" ht="90.75" customHeight="1">
      <c r="A1" s="1" t="s">
        <v>0</v>
      </c>
      <c r="B1" s="2"/>
      <c r="C1" s="258" t="str">
        <f>"Deuda Pública del Estado de Jalisco al "&amp;""&amp;TEXT(A2,"dd mmmm e")</f>
        <v>Deuda Pública del Estado de Jalisco al 30 junio 2022</v>
      </c>
      <c r="D1" s="259"/>
      <c r="E1" s="259"/>
    </row>
    <row r="2" spans="1:5" ht="13.5" customHeight="1">
      <c r="A2" s="3">
        <v>44742</v>
      </c>
      <c r="B2" s="4" t="s">
        <v>0</v>
      </c>
      <c r="C2" s="5"/>
      <c r="D2" s="5"/>
      <c r="E2" s="6"/>
    </row>
    <row r="3" spans="1:5" ht="26.25">
      <c r="A3" s="7"/>
      <c r="B3" s="8"/>
      <c r="C3" s="8"/>
      <c r="D3" s="8" t="s">
        <v>1</v>
      </c>
      <c r="E3" s="9" t="str">
        <f>"Monto Total Amortizable "&amp;""&amp; TEXT(A2,"dd mmmm e")</f>
        <v>Monto Total Amortizable 30 junio 2022</v>
      </c>
    </row>
    <row r="4" spans="1:5" ht="27" customHeight="1">
      <c r="A4" s="10" t="s">
        <v>2</v>
      </c>
      <c r="B4" s="11"/>
      <c r="C4" s="11"/>
      <c r="D4" s="12">
        <f t="shared" ref="D4:E4" si="0">D5+D6+D7+D8+D9+D10</f>
        <v>29317361793.129997</v>
      </c>
      <c r="E4" s="12">
        <f t="shared" si="0"/>
        <v>27966819565.259483</v>
      </c>
    </row>
    <row r="5" spans="1:5" ht="40.15" customHeight="1">
      <c r="A5" s="260" t="str">
        <f>'Deuda Directa'!A2</f>
        <v>Financiamientos de Largo Plazo del Gobierno del Estado con la Banca Comercial</v>
      </c>
      <c r="B5" s="261"/>
      <c r="C5" s="262"/>
      <c r="D5" s="13">
        <f>'Deuda Directa'!F2</f>
        <v>21497929320.599998</v>
      </c>
      <c r="E5" s="13">
        <f>'Deuda Directa'!I2</f>
        <v>20987988736.199997</v>
      </c>
    </row>
    <row r="6" spans="1:5" ht="33.75" customHeight="1">
      <c r="A6" s="263" t="str">
        <f>'Deuda Directa'!A17</f>
        <v>Financiamientos de Largo Plazo del Gobierno del Estado con la Banca de Desarrollo</v>
      </c>
      <c r="B6" s="264"/>
      <c r="C6" s="264"/>
      <c r="D6" s="13">
        <f>'Deuda Directa'!F17</f>
        <v>7019432472.5299997</v>
      </c>
      <c r="E6" s="13">
        <f>'Deuda Directa'!I17</f>
        <v>6578830829.0794878</v>
      </c>
    </row>
    <row r="7" spans="1:5" ht="14.25">
      <c r="A7" s="263" t="str">
        <f>'Deuda Directa'!A24</f>
        <v>Financiamientos de Corto Plazo del Gobierno del Estado con la Banca Comercial</v>
      </c>
      <c r="B7" s="264"/>
      <c r="C7" s="264"/>
      <c r="D7" s="13">
        <f>'Deuda Directa'!F24</f>
        <v>800000000</v>
      </c>
      <c r="E7" s="13">
        <f>'Deuda Directa'!I24</f>
        <v>399999999.98000002</v>
      </c>
    </row>
    <row r="8" spans="1:5" ht="14.25">
      <c r="A8" s="263" t="str">
        <f>'Deuda Directa'!A28</f>
        <v>Proyectos de Inversión y Prestación de Servicios</v>
      </c>
      <c r="B8" s="264"/>
      <c r="C8" s="264"/>
      <c r="D8" s="13">
        <f>'Deuda Directa'!F28</f>
        <v>0</v>
      </c>
      <c r="E8" s="13">
        <f>'Deuda Directa'!I28</f>
        <v>0</v>
      </c>
    </row>
    <row r="9" spans="1:5" ht="14.25">
      <c r="A9" s="263" t="str">
        <f>'Deuda Directa'!A31</f>
        <v>Obra Pública Financiada</v>
      </c>
      <c r="B9" s="264"/>
      <c r="C9" s="264"/>
      <c r="D9" s="13">
        <f>'Deuda Directa'!F31</f>
        <v>0</v>
      </c>
      <c r="E9" s="13">
        <f>'Deuda Directa'!I31</f>
        <v>0</v>
      </c>
    </row>
    <row r="10" spans="1:5" ht="14.25">
      <c r="A10" s="263" t="str">
        <f>'Deuda Directa'!A34</f>
        <v>Adquisiciones contraídas a largo plazo</v>
      </c>
      <c r="B10" s="264"/>
      <c r="C10" s="264"/>
      <c r="D10" s="13">
        <f>'Deuda Directa'!F34</f>
        <v>0</v>
      </c>
      <c r="E10" s="13">
        <f>'Deuda Directa'!I34</f>
        <v>0</v>
      </c>
    </row>
    <row r="11" spans="1:5" ht="14.25">
      <c r="A11" s="263" t="str">
        <f>'Deuda Directa'!A37</f>
        <v>Otros compromisos u obligaciones a largo plazo</v>
      </c>
      <c r="B11" s="264"/>
      <c r="C11" s="264"/>
      <c r="D11" s="14">
        <f t="shared" ref="D11:E11" si="1">D12</f>
        <v>2467841462</v>
      </c>
      <c r="E11" s="14">
        <f t="shared" si="1"/>
        <v>0</v>
      </c>
    </row>
    <row r="12" spans="1:5" ht="14.25">
      <c r="A12" s="265" t="str">
        <f>'Deuda Directa'!A38</f>
        <v>Bonos Cupón Cero</v>
      </c>
      <c r="B12" s="264"/>
      <c r="C12" s="264"/>
      <c r="D12" s="15">
        <f>'Deuda Directa'!F38</f>
        <v>2467841462</v>
      </c>
      <c r="E12" s="15">
        <f>'Deuda Directa'!I38</f>
        <v>0</v>
      </c>
    </row>
    <row r="13" spans="1:5" ht="13.5" customHeight="1">
      <c r="A13" s="16"/>
      <c r="B13" s="17"/>
      <c r="C13" s="17"/>
      <c r="D13" s="18"/>
      <c r="E13" s="18"/>
    </row>
    <row r="14" spans="1:5" ht="17.649999999999999">
      <c r="A14" s="10" t="s">
        <v>3</v>
      </c>
      <c r="B14" s="11"/>
      <c r="C14" s="11"/>
      <c r="D14" s="12">
        <f t="shared" ref="D14:E14" si="2">D15+D16+D17</f>
        <v>5451316577.6299992</v>
      </c>
      <c r="E14" s="12">
        <f t="shared" si="2"/>
        <v>4351158959.3037891</v>
      </c>
    </row>
    <row r="15" spans="1:5" ht="17.649999999999999">
      <c r="A15" s="19" t="str">
        <f>'Deuda Contingente'!A2</f>
        <v>Avales a OPD</v>
      </c>
      <c r="B15" s="20"/>
      <c r="C15" s="20"/>
      <c r="D15" s="21">
        <f>SUM('Deuda Contingente'!F3:F7)</f>
        <v>3182697613.8999996</v>
      </c>
      <c r="E15" s="21">
        <f>SUM('Deuda Contingente'!I3:I7)</f>
        <v>2427991190.5999999</v>
      </c>
    </row>
    <row r="16" spans="1:5" ht="17.649999999999999">
      <c r="A16" s="22" t="str">
        <f>'Deuda Contingente'!A9</f>
        <v>Avales a Municipios con la Banca Comercial</v>
      </c>
      <c r="B16" s="23"/>
      <c r="C16" s="23"/>
      <c r="D16" s="24">
        <v>0</v>
      </c>
      <c r="E16" s="24">
        <v>0</v>
      </c>
    </row>
    <row r="17" spans="1:5" ht="17.649999999999999">
      <c r="A17" s="22" t="str">
        <f>'Deuda Contingente'!A11</f>
        <v>Línea de Crédito Global Municipal (LCGM)</v>
      </c>
      <c r="B17" s="23"/>
      <c r="C17" s="23"/>
      <c r="D17" s="25">
        <f>SUM('Deuda Contingente'!F12:F70)</f>
        <v>2268618963.73</v>
      </c>
      <c r="E17" s="25">
        <f>SUM('Deuda Contingente'!I12:I70)</f>
        <v>1923167768.703789</v>
      </c>
    </row>
    <row r="18" spans="1:5" ht="13.5" customHeight="1">
      <c r="A18" s="26"/>
      <c r="B18" s="26"/>
      <c r="C18" s="26"/>
      <c r="D18" s="26"/>
      <c r="E18" s="26"/>
    </row>
    <row r="19" spans="1:5" ht="17.649999999999999">
      <c r="A19" s="10" t="s">
        <v>4</v>
      </c>
      <c r="B19" s="11"/>
      <c r="C19" s="11"/>
      <c r="D19" s="12">
        <f t="shared" ref="D19:E19" si="3">D20+D21+D22+D25</f>
        <v>6960295602.2648001</v>
      </c>
      <c r="E19" s="12">
        <f t="shared" si="3"/>
        <v>3740362088.9797087</v>
      </c>
    </row>
    <row r="20" spans="1:5" ht="17.649999999999999">
      <c r="A20" s="19" t="str">
        <f>'Deuda OEP'!A2</f>
        <v>Financiamiento de Municipios a Largo Plazo</v>
      </c>
      <c r="B20" s="20"/>
      <c r="C20" s="20"/>
      <c r="D20" s="21">
        <f>SUM('Deuda OEP'!F3:F50)</f>
        <v>6790740864.0200005</v>
      </c>
      <c r="E20" s="21">
        <f>SUM('Deuda OEP'!I3:I52)</f>
        <v>3714362088.9597087</v>
      </c>
    </row>
    <row r="21" spans="1:5" ht="17.649999999999999">
      <c r="A21" s="22" t="str">
        <f>'Deuda OEP'!A57</f>
        <v>Financiamiento de Municipios a Corto Plazo</v>
      </c>
      <c r="B21" s="23"/>
      <c r="C21" s="23"/>
      <c r="D21" s="25">
        <f>SUM('Deuda OEP'!F58)</f>
        <v>85781162.280000001</v>
      </c>
      <c r="E21" s="25">
        <f>SUM('Deuda OEP'!I58)</f>
        <v>26000000.02</v>
      </c>
    </row>
    <row r="22" spans="1:5" ht="14.25">
      <c r="A22" s="263" t="str">
        <f>'Deuda OEP'!A60</f>
        <v>Proyectos de Inversión y Prestación de Servicios de Municipios</v>
      </c>
      <c r="B22" s="264"/>
      <c r="C22" s="264"/>
      <c r="D22" s="27">
        <f t="shared" ref="D22:E22" si="4">D23+D24</f>
        <v>83773575.9648</v>
      </c>
      <c r="E22" s="27">
        <f t="shared" si="4"/>
        <v>0</v>
      </c>
    </row>
    <row r="23" spans="1:5" ht="13.5" customHeight="1">
      <c r="A23" s="266" t="str">
        <f>'Deuda OEP'!A61</f>
        <v>Arrendamiento Financiero</v>
      </c>
      <c r="B23" s="264"/>
      <c r="C23" s="264"/>
      <c r="D23" s="28">
        <f>SUM('Deuda OEP'!F62:F64)</f>
        <v>83773575.9648</v>
      </c>
      <c r="E23" s="28">
        <f>SUM('Deuda OEP'!I62:I64)</f>
        <v>0</v>
      </c>
    </row>
    <row r="24" spans="1:5" ht="13.5" customHeight="1">
      <c r="A24" s="266" t="str">
        <f>'Deuda OEP'!A65</f>
        <v xml:space="preserve">APP´S - CONCESIONES </v>
      </c>
      <c r="B24" s="264"/>
      <c r="C24" s="264"/>
      <c r="D24" s="28">
        <f>'Deuda OEP'!F66</f>
        <v>0</v>
      </c>
      <c r="E24" s="28">
        <f>'Deuda OEP'!I66</f>
        <v>0</v>
      </c>
    </row>
    <row r="25" spans="1:5" ht="17.649999999999999">
      <c r="A25" s="22" t="str">
        <f>'Deuda OEP'!A67</f>
        <v>Financiamiento de OPDs a Largo Plazo</v>
      </c>
      <c r="B25" s="23"/>
      <c r="C25" s="23"/>
      <c r="D25" s="25">
        <f>'Deuda OEP'!F68</f>
        <v>0</v>
      </c>
      <c r="E25" s="25">
        <f>'Deuda OEP'!I68</f>
        <v>0</v>
      </c>
    </row>
    <row r="26" spans="1:5" ht="13.5" customHeight="1">
      <c r="A26" s="26"/>
      <c r="B26" s="26"/>
      <c r="C26" s="26"/>
      <c r="D26" s="26"/>
      <c r="E26" s="26"/>
    </row>
    <row r="27" spans="1:5" ht="66.400000000000006" customHeight="1">
      <c r="A27" s="255" t="s">
        <v>5</v>
      </c>
      <c r="B27" s="256"/>
      <c r="C27" s="257"/>
      <c r="D27" s="29">
        <f t="shared" ref="D27:E27" si="5">D4+D14+D19</f>
        <v>41728973973.024796</v>
      </c>
      <c r="E27" s="30">
        <f t="shared" si="5"/>
        <v>36058340613.542976</v>
      </c>
    </row>
    <row r="28" spans="1:5" ht="13.5" customHeight="1">
      <c r="A28" s="6"/>
      <c r="B28" s="6"/>
      <c r="C28" s="6"/>
      <c r="D28" s="6"/>
      <c r="E28" s="6"/>
    </row>
    <row r="29" spans="1:5" ht="13.5" customHeight="1">
      <c r="A29" s="6"/>
      <c r="B29" s="6"/>
      <c r="C29" s="6"/>
      <c r="D29" s="6"/>
      <c r="E29" s="6"/>
    </row>
    <row r="30" spans="1:5" ht="13.5" customHeight="1">
      <c r="A30" s="6"/>
      <c r="B30" s="6"/>
      <c r="C30" s="6"/>
      <c r="D30" s="6"/>
      <c r="E30" s="6"/>
    </row>
    <row r="31" spans="1:5" ht="13.5" customHeight="1">
      <c r="A31" s="6"/>
      <c r="B31" s="6"/>
      <c r="C31" s="6"/>
      <c r="D31" s="6"/>
      <c r="E31" s="6"/>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66"/>
  <sheetViews>
    <sheetView tabSelected="1" zoomScale="80" zoomScaleNormal="80" workbookViewId="0">
      <pane ySplit="1" topLeftCell="A2" activePane="bottomLeft" state="frozen"/>
      <selection pane="bottomLeft" activeCell="D52" sqref="D52"/>
    </sheetView>
  </sheetViews>
  <sheetFormatPr baseColWidth="10" defaultColWidth="14.3984375" defaultRowHeight="14.25"/>
  <cols>
    <col min="2" max="2" width="14.53125" customWidth="1"/>
    <col min="3" max="3" width="43.3984375" customWidth="1"/>
    <col min="4" max="4" width="58.73046875" customWidth="1"/>
    <col min="5" max="5" width="18.53125" customWidth="1"/>
    <col min="6" max="6" width="17" bestFit="1" customWidth="1"/>
    <col min="7" max="7" width="16.53125" customWidth="1"/>
    <col min="8" max="8" width="16.86328125" customWidth="1"/>
    <col min="9" max="9" width="25.53125" customWidth="1"/>
    <col min="10" max="10" width="17.73046875" customWidth="1"/>
    <col min="11" max="11" width="28.265625" customWidth="1"/>
    <col min="12" max="13" width="13.265625" customWidth="1"/>
    <col min="14" max="14" width="13.73046875" customWidth="1"/>
    <col min="15" max="15" width="14.73046875" customWidth="1"/>
    <col min="16" max="16" width="18.1328125" customWidth="1"/>
    <col min="17" max="18" width="14.3984375" customWidth="1"/>
  </cols>
  <sheetData>
    <row r="1" spans="1:20" ht="39.4">
      <c r="A1" s="7" t="s">
        <v>6</v>
      </c>
      <c r="B1" s="8" t="s">
        <v>7</v>
      </c>
      <c r="C1" s="8" t="s">
        <v>8</v>
      </c>
      <c r="D1" s="8" t="s">
        <v>9</v>
      </c>
      <c r="E1" s="8" t="s">
        <v>10</v>
      </c>
      <c r="F1" s="7" t="s">
        <v>11</v>
      </c>
      <c r="G1" s="7" t="s">
        <v>12</v>
      </c>
      <c r="H1" s="7" t="s">
        <v>13</v>
      </c>
      <c r="I1" s="9" t="str">
        <f>"Monto Total Amortizable "&amp;""&amp; TEXT(Totales!$A$2,"dd mmmm e")</f>
        <v>Monto Total Amortizable 30 junio 2022</v>
      </c>
      <c r="J1" s="8" t="s">
        <v>14</v>
      </c>
      <c r="K1" s="8" t="s">
        <v>15</v>
      </c>
      <c r="L1" s="7" t="s">
        <v>16</v>
      </c>
      <c r="M1" s="8" t="s">
        <v>17</v>
      </c>
      <c r="N1" s="7" t="s">
        <v>18</v>
      </c>
      <c r="O1" s="7" t="s">
        <v>19</v>
      </c>
      <c r="P1" s="7" t="s">
        <v>20</v>
      </c>
      <c r="Q1" s="7" t="s">
        <v>21</v>
      </c>
      <c r="R1" s="7" t="s">
        <v>22</v>
      </c>
      <c r="S1" s="7" t="s">
        <v>23</v>
      </c>
      <c r="T1" s="7" t="s">
        <v>24</v>
      </c>
    </row>
    <row r="2" spans="1:20" ht="17.649999999999999">
      <c r="A2" s="31" t="s">
        <v>25</v>
      </c>
      <c r="B2" s="32"/>
      <c r="C2" s="32"/>
      <c r="D2" s="32"/>
      <c r="E2" s="32"/>
      <c r="F2" s="33">
        <f t="shared" ref="F2:I2" si="0">SUM(F3:F16)</f>
        <v>21497929320.599998</v>
      </c>
      <c r="G2" s="33">
        <f t="shared" si="0"/>
        <v>21398762680.43</v>
      </c>
      <c r="H2" s="33">
        <f t="shared" si="0"/>
        <v>0</v>
      </c>
      <c r="I2" s="34">
        <f t="shared" si="0"/>
        <v>20987988736.199997</v>
      </c>
      <c r="J2" s="32"/>
      <c r="K2" s="32"/>
      <c r="L2" s="32"/>
      <c r="M2" s="32"/>
      <c r="N2" s="32"/>
      <c r="O2" s="32"/>
      <c r="P2" s="32"/>
      <c r="Q2" s="32"/>
      <c r="R2" s="32"/>
      <c r="S2" s="32"/>
      <c r="T2" s="32"/>
    </row>
    <row r="3" spans="1:20" ht="38.25">
      <c r="A3" s="35" t="s">
        <v>26</v>
      </c>
      <c r="B3" s="35" t="s">
        <v>27</v>
      </c>
      <c r="C3" s="36" t="s">
        <v>28</v>
      </c>
      <c r="D3" s="37" t="s">
        <v>29</v>
      </c>
      <c r="E3" s="35" t="s">
        <v>30</v>
      </c>
      <c r="F3" s="38">
        <v>5115348231</v>
      </c>
      <c r="G3" s="39">
        <v>5104698810.8000002</v>
      </c>
      <c r="H3" s="40">
        <v>0</v>
      </c>
      <c r="I3" s="41">
        <v>4990833399.1599998</v>
      </c>
      <c r="J3" s="35" t="s">
        <v>31</v>
      </c>
      <c r="K3" s="42" t="s">
        <v>32</v>
      </c>
      <c r="L3" s="43" t="s">
        <v>33</v>
      </c>
      <c r="M3" s="44" t="s">
        <v>34</v>
      </c>
      <c r="N3" s="45">
        <v>50971</v>
      </c>
      <c r="O3" s="46" t="s">
        <v>35</v>
      </c>
      <c r="P3" s="47">
        <v>5.6899999999999999E-2</v>
      </c>
      <c r="Q3" s="47">
        <v>7.2948717948717948E-2</v>
      </c>
      <c r="R3" s="35" t="s">
        <v>36</v>
      </c>
      <c r="S3" s="35"/>
      <c r="T3" s="42" t="s">
        <v>37</v>
      </c>
    </row>
    <row r="4" spans="1:20" ht="38.25">
      <c r="A4" s="35" t="s">
        <v>38</v>
      </c>
      <c r="B4" s="35" t="s">
        <v>39</v>
      </c>
      <c r="C4" s="36" t="s">
        <v>40</v>
      </c>
      <c r="D4" s="37" t="s">
        <v>29</v>
      </c>
      <c r="E4" s="35" t="s">
        <v>41</v>
      </c>
      <c r="F4" s="38">
        <v>3000000000</v>
      </c>
      <c r="G4" s="39">
        <v>2998239300.0999999</v>
      </c>
      <c r="H4" s="40">
        <v>0</v>
      </c>
      <c r="I4" s="41">
        <v>2930416128.9000001</v>
      </c>
      <c r="J4" s="35" t="s">
        <v>31</v>
      </c>
      <c r="K4" s="42" t="s">
        <v>42</v>
      </c>
      <c r="L4" s="43" t="s">
        <v>33</v>
      </c>
      <c r="M4" s="44" t="s">
        <v>34</v>
      </c>
      <c r="N4" s="48">
        <v>50974</v>
      </c>
      <c r="O4" s="46" t="s">
        <v>35</v>
      </c>
      <c r="P4" s="47">
        <v>3.3300000000000003E-2</v>
      </c>
      <c r="Q4" s="47">
        <v>4.2692307692307696E-2</v>
      </c>
      <c r="R4" s="35" t="s">
        <v>36</v>
      </c>
      <c r="S4" s="35"/>
      <c r="T4" s="42" t="s">
        <v>37</v>
      </c>
    </row>
    <row r="5" spans="1:20" ht="38.25">
      <c r="A5" s="35" t="s">
        <v>43</v>
      </c>
      <c r="B5" s="35" t="s">
        <v>44</v>
      </c>
      <c r="C5" s="36" t="s">
        <v>45</v>
      </c>
      <c r="D5" s="37" t="s">
        <v>29</v>
      </c>
      <c r="E5" s="35" t="s">
        <v>30</v>
      </c>
      <c r="F5" s="38">
        <v>2000000000</v>
      </c>
      <c r="G5" s="39">
        <v>2000000000</v>
      </c>
      <c r="H5" s="40">
        <v>0</v>
      </c>
      <c r="I5" s="41">
        <v>1954758000</v>
      </c>
      <c r="J5" s="35" t="s">
        <v>31</v>
      </c>
      <c r="K5" s="42" t="s">
        <v>46</v>
      </c>
      <c r="L5" s="43" t="s">
        <v>33</v>
      </c>
      <c r="M5" s="44" t="s">
        <v>34</v>
      </c>
      <c r="N5" s="45">
        <v>50971</v>
      </c>
      <c r="O5" s="46" t="s">
        <v>35</v>
      </c>
      <c r="P5" s="47">
        <v>2.23E-2</v>
      </c>
      <c r="Q5" s="47">
        <v>2.8589743589743588E-2</v>
      </c>
      <c r="R5" s="35" t="s">
        <v>36</v>
      </c>
      <c r="S5" s="35" t="s">
        <v>47</v>
      </c>
      <c r="T5" s="35"/>
    </row>
    <row r="6" spans="1:20" ht="38.25">
      <c r="A6" s="35" t="s">
        <v>48</v>
      </c>
      <c r="B6" s="35" t="s">
        <v>49</v>
      </c>
      <c r="C6" s="36" t="s">
        <v>45</v>
      </c>
      <c r="D6" s="37" t="s">
        <v>29</v>
      </c>
      <c r="E6" s="35" t="s">
        <v>30</v>
      </c>
      <c r="F6" s="38">
        <v>1000000000</v>
      </c>
      <c r="G6" s="39">
        <v>1000000000</v>
      </c>
      <c r="H6" s="40">
        <v>0</v>
      </c>
      <c r="I6" s="41">
        <v>977379000</v>
      </c>
      <c r="J6" s="35" t="s">
        <v>31</v>
      </c>
      <c r="K6" s="42" t="s">
        <v>50</v>
      </c>
      <c r="L6" s="43" t="s">
        <v>33</v>
      </c>
      <c r="M6" s="49" t="s">
        <v>51</v>
      </c>
      <c r="N6" s="45">
        <v>50971</v>
      </c>
      <c r="O6" s="46" t="s">
        <v>35</v>
      </c>
      <c r="P6" s="47">
        <v>1.12E-2</v>
      </c>
      <c r="Q6" s="50">
        <v>1.43E-2</v>
      </c>
      <c r="R6" s="35" t="s">
        <v>36</v>
      </c>
      <c r="S6" s="35" t="s">
        <v>47</v>
      </c>
      <c r="T6" s="35"/>
    </row>
    <row r="7" spans="1:20" ht="63.75">
      <c r="A7" s="35" t="s">
        <v>52</v>
      </c>
      <c r="B7" s="35" t="s">
        <v>53</v>
      </c>
      <c r="C7" s="36" t="s">
        <v>28</v>
      </c>
      <c r="D7" s="36" t="s">
        <v>54</v>
      </c>
      <c r="E7" s="35" t="s">
        <v>30</v>
      </c>
      <c r="F7" s="38">
        <v>2300000000</v>
      </c>
      <c r="G7" s="51">
        <f>250000000+4000000+100000000+50000000+200000000+542000000+245000000+909000000</f>
        <v>2300000000</v>
      </c>
      <c r="H7" s="52">
        <f>F7-G7</f>
        <v>0</v>
      </c>
      <c r="I7" s="41">
        <v>2265009369</v>
      </c>
      <c r="J7" s="35" t="s">
        <v>31</v>
      </c>
      <c r="K7" s="42" t="s">
        <v>32</v>
      </c>
      <c r="L7" s="44"/>
      <c r="M7" s="44" t="s">
        <v>34</v>
      </c>
      <c r="N7" s="45">
        <v>50971</v>
      </c>
      <c r="O7" s="53" t="s">
        <v>55</v>
      </c>
      <c r="P7" s="47">
        <v>0.18759999999999999</v>
      </c>
      <c r="Q7" s="54"/>
      <c r="R7" s="54"/>
      <c r="S7" s="35" t="s">
        <v>47</v>
      </c>
      <c r="T7" s="42" t="s">
        <v>37</v>
      </c>
    </row>
    <row r="8" spans="1:20" ht="25.5">
      <c r="A8" s="35" t="s">
        <v>56</v>
      </c>
      <c r="B8" s="35" t="s">
        <v>57</v>
      </c>
      <c r="C8" s="36" t="s">
        <v>45</v>
      </c>
      <c r="D8" s="37" t="s">
        <v>29</v>
      </c>
      <c r="E8" s="35" t="s">
        <v>58</v>
      </c>
      <c r="F8" s="38">
        <v>1000000000</v>
      </c>
      <c r="G8" s="55">
        <v>988851332.83000004</v>
      </c>
      <c r="H8" s="52">
        <v>0</v>
      </c>
      <c r="I8" s="41">
        <v>972387946.94999897</v>
      </c>
      <c r="J8" s="35" t="s">
        <v>31</v>
      </c>
      <c r="K8" s="42" t="s">
        <v>59</v>
      </c>
      <c r="L8" s="36"/>
      <c r="M8" s="44" t="s">
        <v>34</v>
      </c>
      <c r="N8" s="56">
        <v>51153</v>
      </c>
      <c r="O8" s="46" t="s">
        <v>35</v>
      </c>
      <c r="P8" s="50">
        <v>1.11E-2</v>
      </c>
      <c r="Q8" s="50">
        <v>1.4200000000000001E-2</v>
      </c>
      <c r="R8" s="35" t="s">
        <v>36</v>
      </c>
      <c r="S8" s="35" t="s">
        <v>47</v>
      </c>
      <c r="T8" s="42"/>
    </row>
    <row r="9" spans="1:20" ht="25.5">
      <c r="A9" s="35" t="s">
        <v>60</v>
      </c>
      <c r="B9" s="35" t="s">
        <v>61</v>
      </c>
      <c r="C9" s="37" t="s">
        <v>62</v>
      </c>
      <c r="D9" s="37" t="s">
        <v>29</v>
      </c>
      <c r="E9" s="35" t="s">
        <v>58</v>
      </c>
      <c r="F9" s="38">
        <v>882581089.60000002</v>
      </c>
      <c r="G9" s="55">
        <v>806973236.70000005</v>
      </c>
      <c r="H9" s="52">
        <v>0</v>
      </c>
      <c r="I9" s="41">
        <v>793537939.28999996</v>
      </c>
      <c r="J9" s="35" t="s">
        <v>31</v>
      </c>
      <c r="K9" s="42" t="s">
        <v>63</v>
      </c>
      <c r="L9" s="36"/>
      <c r="M9" s="44" t="s">
        <v>34</v>
      </c>
      <c r="N9" s="56">
        <v>51153</v>
      </c>
      <c r="O9" s="46" t="s">
        <v>35</v>
      </c>
      <c r="P9" s="50">
        <v>9.7999999999999997E-3</v>
      </c>
      <c r="Q9" s="50">
        <v>1.2500000000000001E-2</v>
      </c>
      <c r="R9" s="57"/>
      <c r="S9" s="35" t="s">
        <v>47</v>
      </c>
      <c r="T9" s="42"/>
    </row>
    <row r="10" spans="1:20" ht="38.25">
      <c r="A10" s="35" t="s">
        <v>64</v>
      </c>
      <c r="B10" s="35" t="s">
        <v>65</v>
      </c>
      <c r="C10" s="37" t="s">
        <v>66</v>
      </c>
      <c r="D10" s="37" t="s">
        <v>67</v>
      </c>
      <c r="E10" s="35" t="s">
        <v>68</v>
      </c>
      <c r="F10" s="38">
        <v>1200000000</v>
      </c>
      <c r="G10" s="58">
        <f>73000000+350000000+250000000+527000000</f>
        <v>1200000000</v>
      </c>
      <c r="H10" s="52">
        <f t="shared" ref="H10:H16" si="1">F10-G10</f>
        <v>0</v>
      </c>
      <c r="I10" s="41">
        <v>1170489480</v>
      </c>
      <c r="J10" s="42" t="s">
        <v>69</v>
      </c>
      <c r="K10" s="42" t="s">
        <v>70</v>
      </c>
      <c r="L10" s="36"/>
      <c r="M10" s="44" t="s">
        <v>71</v>
      </c>
      <c r="N10" s="56">
        <v>47653</v>
      </c>
      <c r="O10" s="46" t="s">
        <v>35</v>
      </c>
      <c r="P10" s="50">
        <v>1.61E-2</v>
      </c>
      <c r="Q10" s="50">
        <v>2.06E-2</v>
      </c>
      <c r="R10" s="42" t="s">
        <v>72</v>
      </c>
      <c r="S10" s="35"/>
      <c r="T10" s="42" t="s">
        <v>37</v>
      </c>
    </row>
    <row r="11" spans="1:20" ht="38.25">
      <c r="A11" s="35" t="s">
        <v>73</v>
      </c>
      <c r="B11" s="35" t="s">
        <v>74</v>
      </c>
      <c r="C11" s="37" t="s">
        <v>66</v>
      </c>
      <c r="D11" s="37" t="s">
        <v>67</v>
      </c>
      <c r="E11" s="35" t="s">
        <v>68</v>
      </c>
      <c r="F11" s="38">
        <v>300000000</v>
      </c>
      <c r="G11" s="55">
        <f>160000000+140000000</f>
        <v>300000000</v>
      </c>
      <c r="H11" s="52">
        <f t="shared" si="1"/>
        <v>0</v>
      </c>
      <c r="I11" s="41">
        <v>294874240</v>
      </c>
      <c r="J11" s="42" t="s">
        <v>69</v>
      </c>
      <c r="K11" s="42" t="s">
        <v>75</v>
      </c>
      <c r="L11" s="43" t="s">
        <v>76</v>
      </c>
      <c r="M11" s="44" t="s">
        <v>77</v>
      </c>
      <c r="N11" s="56">
        <v>49508</v>
      </c>
      <c r="O11" s="46" t="s">
        <v>35</v>
      </c>
      <c r="P11" s="50">
        <v>3.3999999999999998E-3</v>
      </c>
      <c r="Q11" s="50">
        <v>4.4000000000000003E-3</v>
      </c>
      <c r="R11" s="35" t="s">
        <v>36</v>
      </c>
      <c r="S11" s="35"/>
      <c r="T11" s="42" t="s">
        <v>37</v>
      </c>
    </row>
    <row r="12" spans="1:20" ht="38.25">
      <c r="A12" s="35" t="s">
        <v>78</v>
      </c>
      <c r="B12" s="35" t="s">
        <v>79</v>
      </c>
      <c r="C12" s="37" t="s">
        <v>80</v>
      </c>
      <c r="D12" s="37" t="s">
        <v>67</v>
      </c>
      <c r="E12" s="35" t="s">
        <v>68</v>
      </c>
      <c r="F12" s="38">
        <v>700000000</v>
      </c>
      <c r="G12" s="55">
        <f>67000000+150100000+240000000+147800000+95100000</f>
        <v>700000000</v>
      </c>
      <c r="H12" s="52">
        <f t="shared" si="1"/>
        <v>0</v>
      </c>
      <c r="I12" s="41">
        <v>688390859.89999998</v>
      </c>
      <c r="J12" s="42" t="s">
        <v>69</v>
      </c>
      <c r="K12" s="42" t="s">
        <v>81</v>
      </c>
      <c r="L12" s="43" t="s">
        <v>82</v>
      </c>
      <c r="M12" s="44" t="s">
        <v>77</v>
      </c>
      <c r="N12" s="56">
        <v>49508</v>
      </c>
      <c r="O12" s="46" t="s">
        <v>35</v>
      </c>
      <c r="P12" s="50">
        <v>8.0999999999999996E-3</v>
      </c>
      <c r="Q12" s="50">
        <v>1.04E-2</v>
      </c>
      <c r="R12" s="57"/>
      <c r="S12" s="35" t="s">
        <v>47</v>
      </c>
      <c r="T12" s="42"/>
    </row>
    <row r="13" spans="1:20" ht="38.25">
      <c r="A13" s="35" t="s">
        <v>83</v>
      </c>
      <c r="B13" s="35" t="s">
        <v>84</v>
      </c>
      <c r="C13" s="37" t="s">
        <v>80</v>
      </c>
      <c r="D13" s="37" t="s">
        <v>67</v>
      </c>
      <c r="E13" s="35" t="s">
        <v>68</v>
      </c>
      <c r="F13" s="38">
        <v>1000000000</v>
      </c>
      <c r="G13" s="55">
        <f>124000000+58000000+320000000+180000000+318000000</f>
        <v>1000000000</v>
      </c>
      <c r="H13" s="52">
        <f t="shared" si="1"/>
        <v>0</v>
      </c>
      <c r="I13" s="41">
        <v>988579810</v>
      </c>
      <c r="J13" s="42" t="s">
        <v>69</v>
      </c>
      <c r="K13" s="42" t="s">
        <v>81</v>
      </c>
      <c r="L13" s="43" t="s">
        <v>85</v>
      </c>
      <c r="M13" s="44" t="s">
        <v>86</v>
      </c>
      <c r="N13" s="56">
        <v>51333</v>
      </c>
      <c r="O13" s="46" t="s">
        <v>35</v>
      </c>
      <c r="P13" s="50">
        <v>9.5999999999999992E-3</v>
      </c>
      <c r="Q13" s="50">
        <v>1.23E-2</v>
      </c>
      <c r="R13" s="35"/>
      <c r="S13" s="35" t="s">
        <v>47</v>
      </c>
      <c r="T13" s="42"/>
    </row>
    <row r="14" spans="1:20" ht="38.25">
      <c r="A14" s="35" t="s">
        <v>87</v>
      </c>
      <c r="B14" s="35" t="s">
        <v>88</v>
      </c>
      <c r="C14" s="37" t="s">
        <v>89</v>
      </c>
      <c r="D14" s="37" t="s">
        <v>67</v>
      </c>
      <c r="E14" s="35" t="s">
        <v>68</v>
      </c>
      <c r="F14" s="38">
        <v>1000000000</v>
      </c>
      <c r="G14" s="55">
        <f>262000000+280000000+458000000</f>
        <v>1000000000</v>
      </c>
      <c r="H14" s="52">
        <f t="shared" si="1"/>
        <v>0</v>
      </c>
      <c r="I14" s="41">
        <v>984222966</v>
      </c>
      <c r="J14" s="42" t="s">
        <v>69</v>
      </c>
      <c r="K14" s="42" t="s">
        <v>75</v>
      </c>
      <c r="L14" s="43" t="s">
        <v>90</v>
      </c>
      <c r="M14" s="44" t="s">
        <v>77</v>
      </c>
      <c r="N14" s="56">
        <v>49508</v>
      </c>
      <c r="O14" s="46" t="s">
        <v>35</v>
      </c>
      <c r="P14" s="50">
        <v>1.15E-2</v>
      </c>
      <c r="Q14" s="50">
        <v>1.47E-2</v>
      </c>
      <c r="R14" s="35" t="s">
        <v>36</v>
      </c>
      <c r="S14" s="35"/>
      <c r="T14" s="42" t="s">
        <v>37</v>
      </c>
    </row>
    <row r="15" spans="1:20" ht="38.25">
      <c r="A15" s="35" t="s">
        <v>91</v>
      </c>
      <c r="B15" s="35" t="s">
        <v>92</v>
      </c>
      <c r="C15" s="37" t="s">
        <v>89</v>
      </c>
      <c r="D15" s="37" t="s">
        <v>67</v>
      </c>
      <c r="E15" s="35" t="s">
        <v>68</v>
      </c>
      <c r="F15" s="38">
        <v>1000000000</v>
      </c>
      <c r="G15" s="55">
        <f>158000000+370000000+472000000</f>
        <v>1000000000</v>
      </c>
      <c r="H15" s="52">
        <f t="shared" si="1"/>
        <v>0</v>
      </c>
      <c r="I15" s="41">
        <v>989120240</v>
      </c>
      <c r="J15" s="42" t="s">
        <v>69</v>
      </c>
      <c r="K15" s="42" t="s">
        <v>93</v>
      </c>
      <c r="L15" s="43" t="s">
        <v>94</v>
      </c>
      <c r="M15" s="44" t="s">
        <v>86</v>
      </c>
      <c r="N15" s="56">
        <v>51333</v>
      </c>
      <c r="O15" s="46" t="s">
        <v>35</v>
      </c>
      <c r="P15" s="50">
        <v>9.4999999999999998E-3</v>
      </c>
      <c r="Q15" s="50">
        <v>1.2200000000000001E-2</v>
      </c>
      <c r="R15" s="35" t="s">
        <v>36</v>
      </c>
      <c r="S15" s="35"/>
      <c r="T15" s="42" t="s">
        <v>37</v>
      </c>
    </row>
    <row r="16" spans="1:20" ht="38.25">
      <c r="A16" s="35" t="s">
        <v>95</v>
      </c>
      <c r="B16" s="35" t="s">
        <v>96</v>
      </c>
      <c r="C16" s="37" t="s">
        <v>89</v>
      </c>
      <c r="D16" s="37" t="s">
        <v>67</v>
      </c>
      <c r="E16" s="35" t="s">
        <v>68</v>
      </c>
      <c r="F16" s="38">
        <v>1000000000</v>
      </c>
      <c r="G16" s="55">
        <f>593000000+133000000+100000000+174000000</f>
        <v>1000000000</v>
      </c>
      <c r="H16" s="52">
        <f t="shared" si="1"/>
        <v>0</v>
      </c>
      <c r="I16" s="41">
        <v>987989357</v>
      </c>
      <c r="J16" s="42" t="s">
        <v>69</v>
      </c>
      <c r="K16" s="42" t="s">
        <v>97</v>
      </c>
      <c r="L16" s="43" t="s">
        <v>94</v>
      </c>
      <c r="M16" s="44" t="s">
        <v>86</v>
      </c>
      <c r="N16" s="56">
        <v>51333</v>
      </c>
      <c r="O16" s="46" t="s">
        <v>35</v>
      </c>
      <c r="P16" s="50">
        <v>9.4999999999999998E-3</v>
      </c>
      <c r="Q16" s="50">
        <v>1.2200000000000001E-2</v>
      </c>
      <c r="R16" s="35" t="s">
        <v>36</v>
      </c>
      <c r="S16" s="35"/>
      <c r="T16" s="42" t="s">
        <v>37</v>
      </c>
    </row>
    <row r="17" spans="1:20" ht="17.649999999999999">
      <c r="A17" s="31" t="s">
        <v>98</v>
      </c>
      <c r="B17" s="32"/>
      <c r="C17" s="32"/>
      <c r="D17" s="32"/>
      <c r="E17" s="32"/>
      <c r="F17" s="59">
        <f t="shared" ref="F17:I17" si="2">SUM(F18:F22)</f>
        <v>7019432472.5299997</v>
      </c>
      <c r="G17" s="34">
        <f t="shared" si="2"/>
        <v>6922844019.75</v>
      </c>
      <c r="H17" s="34">
        <f t="shared" si="2"/>
        <v>0</v>
      </c>
      <c r="I17" s="34">
        <f t="shared" si="2"/>
        <v>6578830829.0794878</v>
      </c>
      <c r="J17" s="32"/>
      <c r="K17" s="32"/>
      <c r="L17" s="32"/>
      <c r="M17" s="32"/>
      <c r="N17" s="32"/>
      <c r="O17" s="32"/>
      <c r="P17" s="32"/>
      <c r="Q17" s="32"/>
      <c r="R17" s="32"/>
      <c r="S17" s="32"/>
      <c r="T17" s="32"/>
    </row>
    <row r="18" spans="1:20" ht="25.5">
      <c r="A18" s="35" t="s">
        <v>99</v>
      </c>
      <c r="B18" s="35" t="s">
        <v>100</v>
      </c>
      <c r="C18" s="36" t="s">
        <v>101</v>
      </c>
      <c r="D18" s="60" t="s">
        <v>102</v>
      </c>
      <c r="E18" s="35" t="s">
        <v>103</v>
      </c>
      <c r="F18" s="61">
        <v>1000000000</v>
      </c>
      <c r="G18" s="62">
        <v>909679139.02999997</v>
      </c>
      <c r="H18" s="40">
        <v>0</v>
      </c>
      <c r="I18" s="57">
        <v>685374693.950001</v>
      </c>
      <c r="J18" s="42" t="s">
        <v>104</v>
      </c>
      <c r="K18" s="63" t="s">
        <v>105</v>
      </c>
      <c r="L18" s="44"/>
      <c r="M18" s="44">
        <v>240</v>
      </c>
      <c r="N18" s="64" t="s">
        <v>106</v>
      </c>
      <c r="O18" s="46" t="s">
        <v>35</v>
      </c>
      <c r="P18" s="65">
        <v>1.7000000000000001E-2</v>
      </c>
      <c r="Q18" s="66">
        <f t="shared" ref="Q18:Q21" si="3">P18/0.78</f>
        <v>2.1794871794871797E-2</v>
      </c>
      <c r="R18" s="54"/>
      <c r="S18" s="54"/>
      <c r="T18" s="67"/>
    </row>
    <row r="19" spans="1:20" ht="38.25">
      <c r="A19" s="35" t="s">
        <v>107</v>
      </c>
      <c r="B19" s="35" t="s">
        <v>108</v>
      </c>
      <c r="C19" s="36" t="s">
        <v>101</v>
      </c>
      <c r="D19" s="37" t="s">
        <v>29</v>
      </c>
      <c r="E19" s="35" t="s">
        <v>30</v>
      </c>
      <c r="F19" s="61">
        <v>2500000000</v>
      </c>
      <c r="G19" s="62">
        <v>2495817598.8800001</v>
      </c>
      <c r="H19" s="40">
        <v>0</v>
      </c>
      <c r="I19" s="57">
        <v>2438543576.62116</v>
      </c>
      <c r="J19" s="35" t="s">
        <v>31</v>
      </c>
      <c r="K19" s="68" t="s">
        <v>109</v>
      </c>
      <c r="L19" s="43" t="s">
        <v>33</v>
      </c>
      <c r="M19" s="44" t="s">
        <v>34</v>
      </c>
      <c r="N19" s="45">
        <v>50971</v>
      </c>
      <c r="O19" s="46" t="s">
        <v>35</v>
      </c>
      <c r="P19" s="65">
        <v>2.7900000000000001E-2</v>
      </c>
      <c r="Q19" s="66">
        <f t="shared" si="3"/>
        <v>3.5769230769230768E-2</v>
      </c>
      <c r="R19" s="35" t="s">
        <v>36</v>
      </c>
      <c r="S19" s="35" t="s">
        <v>47</v>
      </c>
      <c r="T19" s="67"/>
    </row>
    <row r="20" spans="1:20" ht="38.25">
      <c r="A20" s="35" t="s">
        <v>110</v>
      </c>
      <c r="B20" s="35" t="s">
        <v>111</v>
      </c>
      <c r="C20" s="36" t="s">
        <v>101</v>
      </c>
      <c r="D20" s="37" t="s">
        <v>29</v>
      </c>
      <c r="E20" s="35" t="s">
        <v>30</v>
      </c>
      <c r="F20" s="61">
        <v>569432472.52999997</v>
      </c>
      <c r="G20" s="62">
        <v>567347281.84000003</v>
      </c>
      <c r="H20" s="40">
        <v>0</v>
      </c>
      <c r="I20" s="57">
        <v>554327796.41833699</v>
      </c>
      <c r="J20" s="35" t="s">
        <v>31</v>
      </c>
      <c r="K20" s="68" t="s">
        <v>112</v>
      </c>
      <c r="L20" s="43" t="s">
        <v>33</v>
      </c>
      <c r="M20" s="44" t="s">
        <v>34</v>
      </c>
      <c r="N20" s="45">
        <v>50971</v>
      </c>
      <c r="O20" s="46" t="s">
        <v>35</v>
      </c>
      <c r="P20" s="65">
        <v>6.4000000000000003E-3</v>
      </c>
      <c r="Q20" s="66">
        <f t="shared" si="3"/>
        <v>8.2051282051282051E-3</v>
      </c>
      <c r="R20" s="35" t="s">
        <v>36</v>
      </c>
      <c r="S20" s="35" t="s">
        <v>47</v>
      </c>
      <c r="T20" s="67"/>
    </row>
    <row r="21" spans="1:20" ht="38.25">
      <c r="A21" s="35" t="s">
        <v>113</v>
      </c>
      <c r="B21" s="35" t="s">
        <v>114</v>
      </c>
      <c r="C21" s="36" t="s">
        <v>101</v>
      </c>
      <c r="D21" s="36" t="s">
        <v>115</v>
      </c>
      <c r="E21" s="35" t="s">
        <v>30</v>
      </c>
      <c r="F21" s="61">
        <v>2250000000</v>
      </c>
      <c r="G21" s="69">
        <f>100000+270000000+450000000+360000000+1169900000</f>
        <v>2250000000</v>
      </c>
      <c r="H21" s="70">
        <f t="shared" ref="H21:H22" si="4">F21-G21</f>
        <v>0</v>
      </c>
      <c r="I21" s="57">
        <v>2214064964.18999</v>
      </c>
      <c r="J21" s="35" t="s">
        <v>31</v>
      </c>
      <c r="K21" s="63" t="s">
        <v>116</v>
      </c>
      <c r="L21" s="44"/>
      <c r="M21" s="44" t="s">
        <v>34</v>
      </c>
      <c r="N21" s="45">
        <v>50971</v>
      </c>
      <c r="O21" s="46" t="s">
        <v>35</v>
      </c>
      <c r="P21" s="65">
        <v>2.5000000000000001E-2</v>
      </c>
      <c r="Q21" s="66">
        <f t="shared" si="3"/>
        <v>3.2051282051282055E-2</v>
      </c>
      <c r="R21" s="35" t="s">
        <v>36</v>
      </c>
      <c r="S21" s="54"/>
      <c r="T21" s="42" t="s">
        <v>37</v>
      </c>
    </row>
    <row r="22" spans="1:20" ht="38.25">
      <c r="A22" s="71" t="s">
        <v>117</v>
      </c>
      <c r="B22" s="71" t="s">
        <v>118</v>
      </c>
      <c r="C22" s="72" t="s">
        <v>101</v>
      </c>
      <c r="D22" s="72" t="s">
        <v>119</v>
      </c>
      <c r="E22" s="71" t="s">
        <v>30</v>
      </c>
      <c r="F22" s="73">
        <v>700000000</v>
      </c>
      <c r="G22" s="74">
        <f>100000+230000000+200000000+151000000+112000000+6900000</f>
        <v>700000000</v>
      </c>
      <c r="H22" s="75">
        <f t="shared" si="4"/>
        <v>0</v>
      </c>
      <c r="I22" s="76">
        <v>686519797.89999998</v>
      </c>
      <c r="J22" s="71" t="s">
        <v>31</v>
      </c>
      <c r="K22" s="71" t="s">
        <v>120</v>
      </c>
      <c r="L22" s="77" t="s">
        <v>121</v>
      </c>
      <c r="M22" s="78" t="s">
        <v>34</v>
      </c>
      <c r="N22" s="79">
        <v>50971</v>
      </c>
      <c r="O22" s="80" t="s">
        <v>55</v>
      </c>
      <c r="P22" s="81">
        <v>5.7200000000000001E-2</v>
      </c>
      <c r="Q22" s="71"/>
      <c r="R22" s="71" t="s">
        <v>36</v>
      </c>
      <c r="S22" s="82"/>
      <c r="T22" s="42" t="s">
        <v>37</v>
      </c>
    </row>
    <row r="23" spans="1:20">
      <c r="A23" s="83"/>
      <c r="B23" s="83"/>
      <c r="C23" s="83"/>
      <c r="D23" s="83"/>
      <c r="E23" s="83"/>
      <c r="F23" s="83"/>
      <c r="G23" s="84"/>
      <c r="H23" s="84"/>
      <c r="I23" s="85"/>
      <c r="J23" s="83"/>
      <c r="K23" s="83"/>
      <c r="L23" s="83"/>
      <c r="M23" s="83"/>
      <c r="N23" s="83"/>
      <c r="O23" s="83"/>
      <c r="P23" s="83"/>
      <c r="Q23" s="83"/>
      <c r="R23" s="83"/>
      <c r="S23" s="83"/>
      <c r="T23" s="83"/>
    </row>
    <row r="24" spans="1:20" ht="17.649999999999999">
      <c r="A24" s="31" t="s">
        <v>122</v>
      </c>
      <c r="B24" s="86"/>
      <c r="C24" s="86"/>
      <c r="D24" s="86"/>
      <c r="E24" s="86"/>
      <c r="F24" s="34">
        <f t="shared" ref="F24:I24" si="5">SUM(F25:F27)</f>
        <v>800000000</v>
      </c>
      <c r="G24" s="34">
        <f t="shared" si="5"/>
        <v>800000000</v>
      </c>
      <c r="H24" s="34">
        <f t="shared" si="5"/>
        <v>0</v>
      </c>
      <c r="I24" s="34">
        <f t="shared" si="5"/>
        <v>399999999.98000002</v>
      </c>
      <c r="J24" s="86"/>
      <c r="K24" s="86"/>
      <c r="L24" s="86"/>
      <c r="M24" s="86"/>
      <c r="N24" s="86"/>
      <c r="O24" s="86"/>
      <c r="P24" s="86"/>
      <c r="Q24" s="86"/>
      <c r="R24" s="87"/>
      <c r="S24" s="87"/>
      <c r="T24" s="87"/>
    </row>
    <row r="25" spans="1:20" ht="51">
      <c r="A25" s="42" t="s">
        <v>123</v>
      </c>
      <c r="B25" s="42" t="s">
        <v>124</v>
      </c>
      <c r="C25" s="37" t="s">
        <v>125</v>
      </c>
      <c r="D25" s="37" t="s">
        <v>126</v>
      </c>
      <c r="E25" s="88" t="s">
        <v>127</v>
      </c>
      <c r="F25" s="51">
        <v>600000000</v>
      </c>
      <c r="G25" s="89">
        <v>600000000</v>
      </c>
      <c r="H25" s="52">
        <v>0</v>
      </c>
      <c r="I25" s="76">
        <v>300000000</v>
      </c>
      <c r="J25" s="42" t="s">
        <v>128</v>
      </c>
      <c r="K25" s="88" t="s">
        <v>129</v>
      </c>
      <c r="L25" s="44"/>
      <c r="M25" s="49" t="s">
        <v>130</v>
      </c>
      <c r="N25" s="56">
        <v>44902</v>
      </c>
      <c r="O25" s="46" t="s">
        <v>131</v>
      </c>
      <c r="P25" s="65"/>
      <c r="Q25" s="66"/>
      <c r="R25" s="35"/>
      <c r="S25" s="54"/>
      <c r="T25" s="35"/>
    </row>
    <row r="26" spans="1:20" ht="51">
      <c r="A26" s="42" t="s">
        <v>132</v>
      </c>
      <c r="B26" s="42" t="s">
        <v>133</v>
      </c>
      <c r="C26" s="36" t="s">
        <v>40</v>
      </c>
      <c r="D26" s="37" t="s">
        <v>126</v>
      </c>
      <c r="E26" s="88" t="s">
        <v>127</v>
      </c>
      <c r="F26" s="51">
        <v>200000000</v>
      </c>
      <c r="G26" s="89">
        <v>200000000</v>
      </c>
      <c r="H26" s="52">
        <v>0</v>
      </c>
      <c r="I26" s="76">
        <v>99999999.980000004</v>
      </c>
      <c r="J26" s="42" t="s">
        <v>128</v>
      </c>
      <c r="K26" s="88" t="s">
        <v>134</v>
      </c>
      <c r="L26" s="44"/>
      <c r="M26" s="49" t="s">
        <v>130</v>
      </c>
      <c r="N26" s="56">
        <v>44902</v>
      </c>
      <c r="O26" s="46" t="s">
        <v>131</v>
      </c>
      <c r="P26" s="65"/>
      <c r="Q26" s="66"/>
      <c r="R26" s="35"/>
      <c r="S26" s="54"/>
      <c r="T26" s="35"/>
    </row>
    <row r="27" spans="1:20">
      <c r="A27" s="35"/>
      <c r="B27" s="35"/>
      <c r="C27" s="36"/>
      <c r="D27" s="37"/>
      <c r="E27" s="42"/>
      <c r="F27" s="62"/>
      <c r="G27" s="55"/>
      <c r="H27" s="90"/>
      <c r="I27" s="62"/>
      <c r="J27" s="42"/>
      <c r="K27" s="91"/>
      <c r="L27" s="44"/>
      <c r="M27" s="49"/>
      <c r="N27" s="48"/>
      <c r="O27" s="46"/>
      <c r="P27" s="65"/>
      <c r="Q27" s="66"/>
      <c r="R27" s="35"/>
      <c r="S27" s="54"/>
      <c r="T27" s="35"/>
    </row>
    <row r="28" spans="1:20" ht="17.649999999999999">
      <c r="A28" s="92" t="s">
        <v>135</v>
      </c>
      <c r="B28" s="86"/>
      <c r="C28" s="86"/>
      <c r="D28" s="86"/>
      <c r="E28" s="86"/>
      <c r="F28" s="34">
        <f t="shared" ref="F28:I28" si="6">SUM(F29:F30)</f>
        <v>0</v>
      </c>
      <c r="G28" s="34">
        <f t="shared" si="6"/>
        <v>0</v>
      </c>
      <c r="H28" s="34">
        <f t="shared" si="6"/>
        <v>0</v>
      </c>
      <c r="I28" s="34">
        <f t="shared" si="6"/>
        <v>0</v>
      </c>
      <c r="J28" s="86"/>
      <c r="K28" s="86"/>
      <c r="L28" s="86"/>
      <c r="M28" s="86"/>
      <c r="N28" s="86"/>
      <c r="O28" s="86"/>
      <c r="P28" s="86"/>
      <c r="Q28" s="86"/>
      <c r="R28" s="87"/>
      <c r="S28" s="87"/>
      <c r="T28" s="87"/>
    </row>
    <row r="29" spans="1:20">
      <c r="A29" s="83"/>
      <c r="B29" s="83"/>
      <c r="C29" s="83"/>
      <c r="D29" s="83"/>
      <c r="E29" s="83"/>
      <c r="F29" s="93">
        <v>0</v>
      </c>
      <c r="G29" s="93">
        <v>0</v>
      </c>
      <c r="H29" s="93">
        <v>0</v>
      </c>
      <c r="I29" s="93">
        <v>0</v>
      </c>
      <c r="J29" s="83"/>
      <c r="K29" s="83"/>
      <c r="L29" s="83"/>
      <c r="M29" s="83"/>
      <c r="N29" s="83"/>
      <c r="O29" s="83"/>
      <c r="P29" s="83"/>
      <c r="Q29" s="83"/>
      <c r="R29" s="83"/>
      <c r="S29" s="83"/>
      <c r="T29" s="83"/>
    </row>
    <row r="30" spans="1:20">
      <c r="A30" s="83"/>
      <c r="B30" s="83"/>
      <c r="C30" s="83"/>
      <c r="D30" s="83"/>
      <c r="E30" s="83"/>
      <c r="F30" s="83"/>
      <c r="G30" s="83"/>
      <c r="H30" s="83"/>
      <c r="I30" s="83"/>
      <c r="J30" s="83"/>
      <c r="K30" s="83"/>
      <c r="L30" s="83"/>
      <c r="M30" s="83"/>
      <c r="N30" s="83"/>
      <c r="O30" s="83"/>
      <c r="P30" s="83"/>
      <c r="Q30" s="83"/>
      <c r="R30" s="83"/>
      <c r="S30" s="83"/>
      <c r="T30" s="83"/>
    </row>
    <row r="31" spans="1:20" ht="17.649999999999999">
      <c r="A31" s="92" t="s">
        <v>136</v>
      </c>
      <c r="B31" s="86"/>
      <c r="C31" s="86"/>
      <c r="D31" s="86"/>
      <c r="E31" s="86"/>
      <c r="F31" s="34">
        <f t="shared" ref="F31:I31" si="7">SUM(F32:F33)</f>
        <v>0</v>
      </c>
      <c r="G31" s="34">
        <f t="shared" si="7"/>
        <v>0</v>
      </c>
      <c r="H31" s="34">
        <f t="shared" si="7"/>
        <v>0</v>
      </c>
      <c r="I31" s="34">
        <f t="shared" si="7"/>
        <v>0</v>
      </c>
      <c r="J31" s="86"/>
      <c r="K31" s="86"/>
      <c r="L31" s="86"/>
      <c r="M31" s="86"/>
      <c r="N31" s="86"/>
      <c r="O31" s="86"/>
      <c r="P31" s="86"/>
      <c r="Q31" s="86"/>
      <c r="R31" s="87"/>
      <c r="S31" s="87"/>
      <c r="T31" s="87"/>
    </row>
    <row r="32" spans="1:20">
      <c r="A32" s="83"/>
      <c r="B32" s="83"/>
      <c r="C32" s="83"/>
      <c r="D32" s="83"/>
      <c r="E32" s="83"/>
      <c r="F32" s="93">
        <v>0</v>
      </c>
      <c r="G32" s="93">
        <v>0</v>
      </c>
      <c r="H32" s="93">
        <v>0</v>
      </c>
      <c r="I32" s="93">
        <v>0</v>
      </c>
      <c r="J32" s="83"/>
      <c r="K32" s="83"/>
      <c r="L32" s="83"/>
      <c r="M32" s="83"/>
      <c r="N32" s="83"/>
      <c r="O32" s="83"/>
      <c r="P32" s="83"/>
      <c r="Q32" s="83"/>
      <c r="R32" s="83"/>
      <c r="S32" s="83"/>
      <c r="T32" s="83"/>
    </row>
    <row r="33" spans="1:20">
      <c r="A33" s="83"/>
      <c r="B33" s="83"/>
      <c r="C33" s="83"/>
      <c r="D33" s="83"/>
      <c r="E33" s="83"/>
      <c r="F33" s="83"/>
      <c r="G33" s="83"/>
      <c r="H33" s="83"/>
      <c r="I33" s="83"/>
      <c r="J33" s="83"/>
      <c r="K33" s="83"/>
      <c r="L33" s="83"/>
      <c r="M33" s="83"/>
      <c r="N33" s="83"/>
      <c r="O33" s="83"/>
      <c r="P33" s="83"/>
      <c r="Q33" s="83"/>
      <c r="R33" s="83"/>
      <c r="S33" s="83"/>
      <c r="T33" s="83"/>
    </row>
    <row r="34" spans="1:20" ht="17.649999999999999">
      <c r="A34" s="92" t="s">
        <v>137</v>
      </c>
      <c r="B34" s="86"/>
      <c r="C34" s="86"/>
      <c r="D34" s="86"/>
      <c r="E34" s="86"/>
      <c r="F34" s="34">
        <f t="shared" ref="F34:I34" si="8">SUM(F35:F36)</f>
        <v>0</v>
      </c>
      <c r="G34" s="34">
        <f t="shared" si="8"/>
        <v>0</v>
      </c>
      <c r="H34" s="34">
        <f t="shared" si="8"/>
        <v>0</v>
      </c>
      <c r="I34" s="34">
        <f t="shared" si="8"/>
        <v>0</v>
      </c>
      <c r="J34" s="86"/>
      <c r="K34" s="86"/>
      <c r="L34" s="86"/>
      <c r="M34" s="86"/>
      <c r="N34" s="86"/>
      <c r="O34" s="86"/>
      <c r="P34" s="86"/>
      <c r="Q34" s="86"/>
      <c r="R34" s="87"/>
      <c r="S34" s="87"/>
      <c r="T34" s="87"/>
    </row>
    <row r="35" spans="1:20">
      <c r="A35" s="83"/>
      <c r="B35" s="83"/>
      <c r="C35" s="83"/>
      <c r="D35" s="83"/>
      <c r="E35" s="83"/>
      <c r="F35" s="93">
        <v>0</v>
      </c>
      <c r="G35" s="93">
        <v>0</v>
      </c>
      <c r="H35" s="93">
        <v>0</v>
      </c>
      <c r="I35" s="93">
        <v>0</v>
      </c>
      <c r="J35" s="83"/>
      <c r="K35" s="83"/>
      <c r="L35" s="83"/>
      <c r="M35" s="83"/>
      <c r="N35" s="83"/>
      <c r="O35" s="83"/>
      <c r="P35" s="83"/>
      <c r="Q35" s="83"/>
      <c r="R35" s="83"/>
      <c r="S35" s="83"/>
      <c r="T35" s="83"/>
    </row>
    <row r="36" spans="1:20">
      <c r="A36" s="83"/>
      <c r="B36" s="83"/>
      <c r="C36" s="83"/>
      <c r="D36" s="83"/>
      <c r="E36" s="83"/>
      <c r="F36" s="83"/>
      <c r="G36" s="83"/>
      <c r="H36" s="83"/>
      <c r="I36" s="83"/>
      <c r="J36" s="83"/>
      <c r="K36" s="83"/>
      <c r="L36" s="83"/>
      <c r="M36" s="83"/>
      <c r="N36" s="83"/>
      <c r="O36" s="83"/>
      <c r="P36" s="83"/>
      <c r="Q36" s="83"/>
      <c r="R36" s="83"/>
      <c r="S36" s="83"/>
      <c r="T36" s="83"/>
    </row>
    <row r="37" spans="1:20" ht="17.649999999999999">
      <c r="A37" s="94" t="s">
        <v>138</v>
      </c>
      <c r="B37" s="95"/>
      <c r="C37" s="95"/>
      <c r="D37" s="95"/>
      <c r="E37" s="95"/>
      <c r="F37" s="95"/>
      <c r="G37" s="95"/>
      <c r="H37" s="95"/>
      <c r="I37" s="95"/>
      <c r="J37" s="95"/>
      <c r="K37" s="95"/>
      <c r="L37" s="95"/>
      <c r="M37" s="95"/>
      <c r="N37" s="95"/>
      <c r="O37" s="95"/>
      <c r="P37" s="95"/>
      <c r="Q37" s="95"/>
      <c r="R37" s="95"/>
      <c r="S37" s="95"/>
      <c r="T37" s="95"/>
    </row>
    <row r="38" spans="1:20" ht="17.649999999999999">
      <c r="A38" s="96" t="s">
        <v>139</v>
      </c>
      <c r="B38" s="86"/>
      <c r="C38" s="86"/>
      <c r="D38" s="86"/>
      <c r="E38" s="86"/>
      <c r="F38" s="34">
        <f t="shared" ref="F38:H38" si="9">SUM(F39:F45)</f>
        <v>2467841462</v>
      </c>
      <c r="G38" s="34">
        <f t="shared" si="9"/>
        <v>2450651749</v>
      </c>
      <c r="H38" s="34">
        <f t="shared" si="9"/>
        <v>0</v>
      </c>
      <c r="I38" s="34">
        <f>SUM(I39:I45)*0</f>
        <v>0</v>
      </c>
      <c r="J38" s="86"/>
      <c r="K38" s="86"/>
      <c r="L38" s="86"/>
      <c r="M38" s="86"/>
      <c r="N38" s="86"/>
      <c r="O38" s="86"/>
      <c r="P38" s="86"/>
      <c r="Q38" s="86"/>
      <c r="R38" s="87"/>
      <c r="S38" s="87"/>
      <c r="T38" s="87"/>
    </row>
    <row r="39" spans="1:20" ht="76.5">
      <c r="A39" s="97" t="s">
        <v>140</v>
      </c>
      <c r="B39" s="97" t="s">
        <v>141</v>
      </c>
      <c r="C39" s="98" t="s">
        <v>101</v>
      </c>
      <c r="D39" s="99" t="s">
        <v>142</v>
      </c>
      <c r="E39" s="97" t="s">
        <v>143</v>
      </c>
      <c r="F39" s="100">
        <v>1000000000</v>
      </c>
      <c r="G39" s="100">
        <v>995600150</v>
      </c>
      <c r="H39" s="40">
        <v>0</v>
      </c>
      <c r="I39" s="101">
        <v>995600150</v>
      </c>
      <c r="J39" s="102" t="s">
        <v>144</v>
      </c>
      <c r="K39" s="103" t="s">
        <v>145</v>
      </c>
      <c r="L39" s="104"/>
      <c r="M39" s="104">
        <v>240</v>
      </c>
      <c r="N39" s="105" t="s">
        <v>146</v>
      </c>
      <c r="O39" s="106" t="s">
        <v>35</v>
      </c>
      <c r="P39" s="107">
        <v>8.9999999999999993E-3</v>
      </c>
      <c r="Q39" s="66">
        <f t="shared" ref="Q39:Q45" si="10">P39/0.78</f>
        <v>1.1538461538461537E-2</v>
      </c>
      <c r="R39" s="97"/>
      <c r="S39" s="97" t="s">
        <v>47</v>
      </c>
      <c r="T39" s="97"/>
    </row>
    <row r="40" spans="1:20" ht="25.5">
      <c r="A40" s="35" t="s">
        <v>147</v>
      </c>
      <c r="B40" s="35" t="s">
        <v>148</v>
      </c>
      <c r="C40" s="36" t="s">
        <v>101</v>
      </c>
      <c r="D40" s="108" t="s">
        <v>142</v>
      </c>
      <c r="E40" s="35" t="s">
        <v>149</v>
      </c>
      <c r="F40" s="62">
        <v>300000000</v>
      </c>
      <c r="G40" s="100">
        <v>300000000</v>
      </c>
      <c r="H40" s="40">
        <v>0</v>
      </c>
      <c r="I40" s="61">
        <v>300000000</v>
      </c>
      <c r="J40" s="102" t="s">
        <v>144</v>
      </c>
      <c r="K40" s="35" t="s">
        <v>150</v>
      </c>
      <c r="L40" s="44"/>
      <c r="M40" s="44">
        <v>240</v>
      </c>
      <c r="N40" s="64" t="s">
        <v>146</v>
      </c>
      <c r="O40" s="106" t="s">
        <v>35</v>
      </c>
      <c r="P40" s="109">
        <v>3.0000000000000001E-3</v>
      </c>
      <c r="Q40" s="66">
        <f t="shared" si="10"/>
        <v>3.8461538461538459E-3</v>
      </c>
      <c r="R40" s="35"/>
      <c r="S40" s="35" t="s">
        <v>47</v>
      </c>
      <c r="T40" s="35"/>
    </row>
    <row r="41" spans="1:20" ht="178.5">
      <c r="A41" s="35" t="s">
        <v>151</v>
      </c>
      <c r="B41" s="35" t="s">
        <v>152</v>
      </c>
      <c r="C41" s="36" t="s">
        <v>101</v>
      </c>
      <c r="D41" s="108" t="s">
        <v>153</v>
      </c>
      <c r="E41" s="35" t="s">
        <v>154</v>
      </c>
      <c r="F41" s="62">
        <v>299888355</v>
      </c>
      <c r="G41" s="100">
        <v>299888355</v>
      </c>
      <c r="H41" s="40">
        <v>0</v>
      </c>
      <c r="I41" s="61">
        <v>299888355</v>
      </c>
      <c r="J41" s="35" t="s">
        <v>155</v>
      </c>
      <c r="K41" s="63" t="s">
        <v>156</v>
      </c>
      <c r="L41" s="44"/>
      <c r="M41" s="44">
        <v>240</v>
      </c>
      <c r="N41" s="64" t="s">
        <v>157</v>
      </c>
      <c r="O41" s="106" t="s">
        <v>35</v>
      </c>
      <c r="P41" s="109">
        <v>3.3999999999999998E-3</v>
      </c>
      <c r="Q41" s="66">
        <f t="shared" si="10"/>
        <v>4.3589743589743588E-3</v>
      </c>
      <c r="R41" s="35"/>
      <c r="S41" s="35" t="s">
        <v>47</v>
      </c>
      <c r="T41" s="35"/>
    </row>
    <row r="42" spans="1:20" ht="63.75">
      <c r="A42" s="35" t="s">
        <v>158</v>
      </c>
      <c r="B42" s="35" t="s">
        <v>159</v>
      </c>
      <c r="C42" s="36" t="s">
        <v>101</v>
      </c>
      <c r="D42" s="108" t="s">
        <v>160</v>
      </c>
      <c r="E42" s="35" t="s">
        <v>161</v>
      </c>
      <c r="F42" s="62">
        <v>223786059</v>
      </c>
      <c r="G42" s="100">
        <v>211994864</v>
      </c>
      <c r="H42" s="40">
        <v>0</v>
      </c>
      <c r="I42" s="61">
        <v>211994864</v>
      </c>
      <c r="J42" s="35" t="s">
        <v>162</v>
      </c>
      <c r="K42" s="63" t="s">
        <v>163</v>
      </c>
      <c r="L42" s="44"/>
      <c r="M42" s="44">
        <v>240</v>
      </c>
      <c r="N42" s="64" t="s">
        <v>164</v>
      </c>
      <c r="O42" s="106" t="s">
        <v>35</v>
      </c>
      <c r="P42" s="109">
        <v>2E-3</v>
      </c>
      <c r="Q42" s="66">
        <f t="shared" si="10"/>
        <v>2.5641025641025641E-3</v>
      </c>
      <c r="R42" s="35"/>
      <c r="S42" s="35" t="s">
        <v>47</v>
      </c>
      <c r="T42" s="35"/>
    </row>
    <row r="43" spans="1:20" ht="38.25">
      <c r="A43" s="35" t="s">
        <v>165</v>
      </c>
      <c r="B43" s="35" t="s">
        <v>166</v>
      </c>
      <c r="C43" s="36" t="s">
        <v>101</v>
      </c>
      <c r="D43" s="36" t="s">
        <v>167</v>
      </c>
      <c r="E43" s="35" t="s">
        <v>168</v>
      </c>
      <c r="F43" s="62">
        <v>500379494</v>
      </c>
      <c r="G43" s="100">
        <v>500379494</v>
      </c>
      <c r="H43" s="40">
        <v>0</v>
      </c>
      <c r="I43" s="61">
        <v>500379494</v>
      </c>
      <c r="J43" s="35" t="s">
        <v>169</v>
      </c>
      <c r="K43" s="63" t="s">
        <v>170</v>
      </c>
      <c r="L43" s="44"/>
      <c r="M43" s="44">
        <v>240</v>
      </c>
      <c r="N43" s="64" t="s">
        <v>171</v>
      </c>
      <c r="O43" s="106" t="s">
        <v>35</v>
      </c>
      <c r="P43" s="109">
        <v>4.0000000000000001E-3</v>
      </c>
      <c r="Q43" s="66">
        <f t="shared" si="10"/>
        <v>5.1282051282051282E-3</v>
      </c>
      <c r="R43" s="35"/>
      <c r="S43" s="35" t="s">
        <v>47</v>
      </c>
      <c r="T43" s="35"/>
    </row>
    <row r="44" spans="1:20" ht="25.5">
      <c r="A44" s="35" t="s">
        <v>172</v>
      </c>
      <c r="B44" s="35" t="s">
        <v>173</v>
      </c>
      <c r="C44" s="36" t="s">
        <v>101</v>
      </c>
      <c r="D44" s="36" t="s">
        <v>167</v>
      </c>
      <c r="E44" s="35" t="s">
        <v>174</v>
      </c>
      <c r="F44" s="62">
        <v>86788886</v>
      </c>
      <c r="G44" s="100">
        <v>86788886</v>
      </c>
      <c r="H44" s="40">
        <v>0</v>
      </c>
      <c r="I44" s="61">
        <v>86788886</v>
      </c>
      <c r="J44" s="35" t="s">
        <v>169</v>
      </c>
      <c r="K44" s="63" t="s">
        <v>175</v>
      </c>
      <c r="L44" s="44"/>
      <c r="M44" s="44">
        <v>240</v>
      </c>
      <c r="N44" s="64" t="s">
        <v>176</v>
      </c>
      <c r="O44" s="106" t="s">
        <v>35</v>
      </c>
      <c r="P44" s="109">
        <v>1E-3</v>
      </c>
      <c r="Q44" s="66">
        <f t="shared" si="10"/>
        <v>1.2820512820512821E-3</v>
      </c>
      <c r="R44" s="35"/>
      <c r="S44" s="35" t="s">
        <v>47</v>
      </c>
      <c r="T44" s="35"/>
    </row>
    <row r="45" spans="1:20" ht="25.5">
      <c r="A45" s="71" t="s">
        <v>177</v>
      </c>
      <c r="B45" s="71" t="s">
        <v>178</v>
      </c>
      <c r="C45" s="72" t="s">
        <v>101</v>
      </c>
      <c r="D45" s="72" t="s">
        <v>167</v>
      </c>
      <c r="E45" s="71" t="s">
        <v>179</v>
      </c>
      <c r="F45" s="110">
        <v>56998668</v>
      </c>
      <c r="G45" s="110">
        <v>56000000</v>
      </c>
      <c r="H45" s="70">
        <v>0</v>
      </c>
      <c r="I45" s="111">
        <v>56000000</v>
      </c>
      <c r="J45" s="71" t="s">
        <v>169</v>
      </c>
      <c r="K45" s="77" t="s">
        <v>180</v>
      </c>
      <c r="L45" s="78"/>
      <c r="M45" s="78">
        <v>240</v>
      </c>
      <c r="N45" s="112" t="s">
        <v>181</v>
      </c>
      <c r="O45" s="113" t="s">
        <v>35</v>
      </c>
      <c r="P45" s="114">
        <v>1E-3</v>
      </c>
      <c r="Q45" s="81">
        <f t="shared" si="10"/>
        <v>1.2820512820512821E-3</v>
      </c>
      <c r="R45" s="71"/>
      <c r="S45" s="71"/>
      <c r="T45" s="71"/>
    </row>
    <row r="46" spans="1:20">
      <c r="A46" s="83"/>
      <c r="B46" s="83"/>
      <c r="C46" s="83"/>
      <c r="D46" s="83"/>
      <c r="E46" s="83"/>
      <c r="F46" s="83"/>
      <c r="G46" s="83"/>
      <c r="H46" s="83"/>
      <c r="I46" s="83"/>
      <c r="J46" s="83"/>
      <c r="K46" s="83"/>
      <c r="L46" s="83"/>
      <c r="M46" s="83"/>
      <c r="N46" s="83"/>
      <c r="O46" s="83"/>
      <c r="P46" s="83"/>
      <c r="Q46" s="115"/>
      <c r="R46" s="115"/>
      <c r="S46" s="115"/>
      <c r="T46" s="115"/>
    </row>
    <row r="47" spans="1:20">
      <c r="A47" s="116" t="s">
        <v>182</v>
      </c>
      <c r="B47" s="83"/>
      <c r="C47" s="83"/>
      <c r="D47" s="83"/>
      <c r="E47" s="83"/>
      <c r="F47" s="83"/>
      <c r="G47" s="83"/>
      <c r="H47" s="83"/>
      <c r="I47" s="83"/>
      <c r="J47" s="83"/>
      <c r="K47" s="83"/>
      <c r="L47" s="83"/>
      <c r="M47" s="83"/>
      <c r="N47" s="83"/>
      <c r="O47" s="83"/>
      <c r="P47" s="83"/>
      <c r="Q47" s="115"/>
      <c r="R47" s="115"/>
      <c r="S47" s="115"/>
      <c r="T47" s="115"/>
    </row>
    <row r="48" spans="1:20">
      <c r="A48" s="116" t="s">
        <v>183</v>
      </c>
      <c r="B48" s="83"/>
      <c r="C48" s="83"/>
      <c r="D48" s="83"/>
      <c r="E48" s="83"/>
      <c r="F48" s="83"/>
      <c r="G48" s="83"/>
      <c r="H48" s="83"/>
      <c r="I48" s="83"/>
      <c r="J48" s="83"/>
      <c r="K48" s="83"/>
      <c r="L48" s="83"/>
      <c r="M48" s="83"/>
      <c r="N48" s="83"/>
      <c r="O48" s="83"/>
      <c r="P48" s="83"/>
      <c r="Q48" s="115"/>
      <c r="R48" s="115"/>
      <c r="S48" s="115"/>
      <c r="T48" s="115"/>
    </row>
    <row r="51" spans="4:8">
      <c r="D51" s="248"/>
      <c r="E51" s="248"/>
      <c r="F51" s="248"/>
      <c r="G51" s="248"/>
      <c r="H51" s="248"/>
    </row>
    <row r="52" spans="4:8">
      <c r="D52" s="249"/>
      <c r="E52" s="250"/>
      <c r="F52" s="250"/>
      <c r="G52" s="250"/>
      <c r="H52" s="248"/>
    </row>
    <row r="53" spans="4:8">
      <c r="D53" s="249"/>
      <c r="E53" s="250"/>
      <c r="F53" s="250"/>
      <c r="G53" s="250"/>
      <c r="H53" s="248"/>
    </row>
    <row r="54" spans="4:8">
      <c r="D54" s="249"/>
      <c r="E54" s="250"/>
      <c r="F54" s="250"/>
      <c r="G54" s="250"/>
      <c r="H54" s="248"/>
    </row>
    <row r="55" spans="4:8">
      <c r="D55" s="249"/>
      <c r="E55" s="250"/>
      <c r="F55" s="250"/>
      <c r="G55" s="250"/>
      <c r="H55" s="248"/>
    </row>
    <row r="56" spans="4:8">
      <c r="D56" s="249"/>
      <c r="E56" s="250"/>
      <c r="F56" s="250"/>
      <c r="G56" s="250"/>
      <c r="H56" s="248"/>
    </row>
    <row r="57" spans="4:8">
      <c r="D57" s="249"/>
      <c r="E57" s="250"/>
      <c r="F57" s="250"/>
      <c r="G57" s="250"/>
      <c r="H57" s="248"/>
    </row>
    <row r="58" spans="4:8">
      <c r="D58" s="248"/>
      <c r="E58" s="248"/>
      <c r="F58" s="248"/>
      <c r="G58" s="248"/>
      <c r="H58" s="248"/>
    </row>
    <row r="59" spans="4:8">
      <c r="D59" s="248"/>
      <c r="E59" s="251"/>
      <c r="F59" s="248"/>
      <c r="G59" s="248"/>
      <c r="H59" s="248"/>
    </row>
    <row r="60" spans="4:8">
      <c r="D60" s="248"/>
      <c r="E60" s="252"/>
      <c r="F60" s="248"/>
      <c r="G60" s="248"/>
      <c r="H60" s="248"/>
    </row>
    <row r="61" spans="4:8">
      <c r="D61" s="248"/>
      <c r="E61" s="253"/>
      <c r="F61" s="252"/>
      <c r="G61" s="248"/>
      <c r="H61" s="248"/>
    </row>
    <row r="62" spans="4:8">
      <c r="D62" s="248"/>
      <c r="E62" s="254"/>
      <c r="F62" s="252"/>
      <c r="G62" s="248"/>
      <c r="H62" s="248"/>
    </row>
    <row r="63" spans="4:8">
      <c r="D63" s="248"/>
      <c r="E63" s="252"/>
      <c r="F63" s="248"/>
      <c r="G63" s="248"/>
      <c r="H63" s="248"/>
    </row>
    <row r="64" spans="4:8">
      <c r="D64" s="248"/>
      <c r="E64" s="253"/>
      <c r="F64" s="248"/>
      <c r="G64" s="248"/>
      <c r="H64" s="248"/>
    </row>
    <row r="65" spans="4:8">
      <c r="D65" s="248"/>
      <c r="E65" s="254"/>
      <c r="F65" s="248"/>
      <c r="G65" s="248"/>
      <c r="H65" s="248"/>
    </row>
    <row r="66" spans="4:8">
      <c r="D66" s="248"/>
      <c r="E66" s="254"/>
      <c r="F66" s="248"/>
      <c r="G66" s="248"/>
      <c r="H66" s="248"/>
    </row>
  </sheetData>
  <customSheetViews>
    <customSheetView guid="{C988244A-D8C7-44A6-922D-5407BCB3D20D}" filter="1" showAutoFilter="1">
      <pageMargins left="0.7" right="0.7" top="0.75" bottom="0.75" header="0.3" footer="0.3"/>
      <autoFilter ref="A1:S22"/>
    </customSheetView>
  </customSheetView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3"/>
  <sheetViews>
    <sheetView zoomScale="90" zoomScaleNormal="90" workbookViewId="0">
      <pane ySplit="1" topLeftCell="A2" activePane="bottomLeft" state="frozen"/>
      <selection pane="bottomLeft" activeCell="I5" sqref="I5"/>
    </sheetView>
  </sheetViews>
  <sheetFormatPr baseColWidth="10" defaultColWidth="14.3984375" defaultRowHeight="14.25"/>
  <cols>
    <col min="1" max="2" width="14.53125" customWidth="1"/>
    <col min="3" max="3" width="26" customWidth="1"/>
    <col min="4" max="4" width="14.1328125" customWidth="1"/>
    <col min="5" max="5" width="12.73046875" customWidth="1"/>
    <col min="6" max="6" width="15.53125" customWidth="1"/>
    <col min="7" max="9" width="16.86328125" customWidth="1"/>
    <col min="10" max="10" width="13.73046875" customWidth="1"/>
    <col min="11" max="11" width="14.53125" customWidth="1"/>
    <col min="12" max="12" width="12.1328125" customWidth="1"/>
    <col min="13" max="13" width="14.1328125" customWidth="1"/>
    <col min="14" max="14" width="12.265625" customWidth="1"/>
    <col min="15" max="15" width="12" customWidth="1"/>
    <col min="16" max="16" width="17.1328125" customWidth="1"/>
    <col min="17" max="17" width="20" customWidth="1"/>
  </cols>
  <sheetData>
    <row r="1" spans="1:17" ht="52.5">
      <c r="A1" s="7" t="s">
        <v>6</v>
      </c>
      <c r="B1" s="8" t="s">
        <v>7</v>
      </c>
      <c r="C1" s="9" t="s">
        <v>184</v>
      </c>
      <c r="D1" s="8" t="s">
        <v>8</v>
      </c>
      <c r="E1" s="8" t="s">
        <v>10</v>
      </c>
      <c r="F1" s="7" t="s">
        <v>11</v>
      </c>
      <c r="G1" s="7" t="s">
        <v>12</v>
      </c>
      <c r="H1" s="7" t="s">
        <v>13</v>
      </c>
      <c r="I1" s="9" t="str">
        <f>"Monto Total Amortizable "&amp;""&amp; TEXT(Totales!$A$2,"dd mmmm e")</f>
        <v>Monto Total Amortizable 30 junio 2022</v>
      </c>
      <c r="J1" s="8" t="s">
        <v>14</v>
      </c>
      <c r="K1" s="8" t="s">
        <v>15</v>
      </c>
      <c r="L1" s="7" t="s">
        <v>16</v>
      </c>
      <c r="M1" s="8" t="s">
        <v>17</v>
      </c>
      <c r="N1" s="7" t="s">
        <v>18</v>
      </c>
      <c r="O1" s="7" t="s">
        <v>19</v>
      </c>
      <c r="P1" s="7" t="s">
        <v>185</v>
      </c>
      <c r="Q1" s="1" t="s">
        <v>186</v>
      </c>
    </row>
    <row r="2" spans="1:17" ht="17.649999999999999">
      <c r="A2" s="31" t="s">
        <v>187</v>
      </c>
      <c r="B2" s="32"/>
      <c r="C2" s="117"/>
      <c r="D2" s="32"/>
      <c r="E2" s="32"/>
      <c r="F2" s="32"/>
      <c r="G2" s="32"/>
      <c r="H2" s="32"/>
      <c r="I2" s="32"/>
      <c r="J2" s="32"/>
      <c r="K2" s="32"/>
      <c r="L2" s="32"/>
      <c r="M2" s="32"/>
      <c r="N2" s="32"/>
      <c r="O2" s="118"/>
      <c r="P2" s="32"/>
      <c r="Q2" s="119"/>
    </row>
    <row r="3" spans="1:17" ht="25.5">
      <c r="A3" s="97" t="s">
        <v>188</v>
      </c>
      <c r="B3" s="97" t="s">
        <v>189</v>
      </c>
      <c r="C3" s="99" t="s">
        <v>190</v>
      </c>
      <c r="D3" s="120" t="s">
        <v>191</v>
      </c>
      <c r="E3" s="97" t="s">
        <v>192</v>
      </c>
      <c r="F3" s="100">
        <v>1074803325.0999999</v>
      </c>
      <c r="G3" s="100">
        <v>1047178823.78</v>
      </c>
      <c r="H3" s="121">
        <v>0</v>
      </c>
      <c r="I3" s="101">
        <v>980733893.50999999</v>
      </c>
      <c r="J3" s="97" t="s">
        <v>193</v>
      </c>
      <c r="K3" s="66" t="s">
        <v>194</v>
      </c>
      <c r="L3" s="66" t="s">
        <v>195</v>
      </c>
      <c r="M3" s="104">
        <v>240</v>
      </c>
      <c r="N3" s="122" t="s">
        <v>106</v>
      </c>
      <c r="O3" s="123" t="s">
        <v>131</v>
      </c>
      <c r="P3" s="124"/>
      <c r="Q3" s="125" t="s">
        <v>196</v>
      </c>
    </row>
    <row r="4" spans="1:17" ht="25.5">
      <c r="A4" s="35" t="s">
        <v>197</v>
      </c>
      <c r="B4" s="35" t="s">
        <v>198</v>
      </c>
      <c r="C4" s="54" t="s">
        <v>190</v>
      </c>
      <c r="D4" s="54" t="s">
        <v>199</v>
      </c>
      <c r="E4" s="35" t="s">
        <v>200</v>
      </c>
      <c r="F4" s="62">
        <v>800000000</v>
      </c>
      <c r="G4" s="62">
        <v>800000000</v>
      </c>
      <c r="H4" s="55">
        <v>0</v>
      </c>
      <c r="I4" s="101">
        <v>755623894.14999998</v>
      </c>
      <c r="J4" s="35">
        <v>19985</v>
      </c>
      <c r="K4" s="47" t="s">
        <v>201</v>
      </c>
      <c r="L4" s="44"/>
      <c r="M4" s="44">
        <v>240</v>
      </c>
      <c r="N4" s="126" t="s">
        <v>202</v>
      </c>
      <c r="O4" s="123" t="s">
        <v>131</v>
      </c>
      <c r="P4" s="124"/>
      <c r="Q4" s="127" t="s">
        <v>203</v>
      </c>
    </row>
    <row r="5" spans="1:17" ht="25.5">
      <c r="A5" s="97" t="s">
        <v>204</v>
      </c>
      <c r="B5" s="97" t="s">
        <v>205</v>
      </c>
      <c r="C5" s="99" t="s">
        <v>190</v>
      </c>
      <c r="D5" s="128" t="s">
        <v>206</v>
      </c>
      <c r="E5" s="97" t="s">
        <v>207</v>
      </c>
      <c r="F5" s="100">
        <v>1200000000</v>
      </c>
      <c r="G5" s="100">
        <v>1200000000</v>
      </c>
      <c r="H5" s="121">
        <v>0</v>
      </c>
      <c r="I5" s="101">
        <v>691633402.94000006</v>
      </c>
      <c r="J5" s="97">
        <v>21914</v>
      </c>
      <c r="K5" s="102" t="s">
        <v>208</v>
      </c>
      <c r="L5" s="104"/>
      <c r="M5" s="104">
        <v>276</v>
      </c>
      <c r="N5" s="122" t="s">
        <v>209</v>
      </c>
      <c r="O5" s="123" t="s">
        <v>131</v>
      </c>
      <c r="P5" s="124"/>
      <c r="Q5" s="127" t="s">
        <v>210</v>
      </c>
    </row>
    <row r="6" spans="1:17">
      <c r="A6" s="35" t="s">
        <v>211</v>
      </c>
      <c r="B6" s="35" t="s">
        <v>212</v>
      </c>
      <c r="C6" s="108" t="s">
        <v>213</v>
      </c>
      <c r="D6" s="37" t="s">
        <v>206</v>
      </c>
      <c r="E6" s="64" t="s">
        <v>214</v>
      </c>
      <c r="F6" s="62">
        <v>31874254.719999999</v>
      </c>
      <c r="G6" s="55">
        <v>0</v>
      </c>
      <c r="H6" s="55"/>
      <c r="I6" s="61">
        <v>0</v>
      </c>
      <c r="J6" s="35" t="s">
        <v>215</v>
      </c>
      <c r="K6" s="47" t="s">
        <v>216</v>
      </c>
      <c r="L6" s="44"/>
      <c r="M6" s="44">
        <v>240</v>
      </c>
      <c r="N6" s="129">
        <v>47313</v>
      </c>
      <c r="O6" s="123"/>
      <c r="P6" s="124"/>
      <c r="Q6" s="127" t="s">
        <v>217</v>
      </c>
    </row>
    <row r="7" spans="1:17">
      <c r="A7" s="35" t="s">
        <v>218</v>
      </c>
      <c r="B7" s="35" t="s">
        <v>219</v>
      </c>
      <c r="C7" s="108" t="s">
        <v>213</v>
      </c>
      <c r="D7" s="37" t="s">
        <v>206</v>
      </c>
      <c r="E7" s="64" t="s">
        <v>220</v>
      </c>
      <c r="F7" s="62">
        <v>76020034.079999998</v>
      </c>
      <c r="G7" s="55">
        <v>0</v>
      </c>
      <c r="H7" s="90"/>
      <c r="I7" s="61">
        <v>0</v>
      </c>
      <c r="J7" s="35" t="s">
        <v>221</v>
      </c>
      <c r="K7" s="42" t="s">
        <v>222</v>
      </c>
      <c r="L7" s="44"/>
      <c r="M7" s="44">
        <v>240</v>
      </c>
      <c r="N7" s="130">
        <v>47797</v>
      </c>
      <c r="O7" s="123"/>
      <c r="P7" s="124"/>
      <c r="Q7" s="127" t="s">
        <v>223</v>
      </c>
    </row>
    <row r="8" spans="1:17">
      <c r="A8" s="131"/>
      <c r="B8" s="131"/>
      <c r="C8" s="131"/>
      <c r="D8" s="131"/>
      <c r="E8" s="131"/>
      <c r="F8" s="131"/>
      <c r="G8" s="131"/>
      <c r="H8" s="131"/>
      <c r="I8" s="131"/>
      <c r="J8" s="131"/>
      <c r="K8" s="131"/>
      <c r="L8" s="131"/>
      <c r="M8" s="131"/>
      <c r="N8" s="131"/>
      <c r="O8" s="131"/>
      <c r="P8" s="131"/>
      <c r="Q8" s="131"/>
    </row>
    <row r="9" spans="1:17" ht="17.649999999999999">
      <c r="A9" s="31" t="s">
        <v>224</v>
      </c>
      <c r="B9" s="32"/>
      <c r="C9" s="117"/>
      <c r="D9" s="32"/>
      <c r="E9" s="32"/>
      <c r="F9" s="32"/>
      <c r="G9" s="32"/>
      <c r="H9" s="32"/>
      <c r="I9" s="32"/>
      <c r="J9" s="32"/>
      <c r="K9" s="32"/>
      <c r="L9" s="32"/>
      <c r="M9" s="32"/>
      <c r="N9" s="32"/>
      <c r="O9" s="32"/>
      <c r="P9" s="132"/>
      <c r="Q9" s="132"/>
    </row>
    <row r="10" spans="1:17">
      <c r="A10" s="131"/>
      <c r="B10" s="131"/>
      <c r="C10" s="131"/>
      <c r="D10" s="131"/>
      <c r="E10" s="131"/>
      <c r="F10" s="131"/>
      <c r="G10" s="131"/>
      <c r="H10" s="131"/>
      <c r="I10" s="131"/>
      <c r="J10" s="131"/>
      <c r="K10" s="131"/>
      <c r="L10" s="131"/>
      <c r="M10" s="131"/>
      <c r="N10" s="131"/>
      <c r="O10" s="131"/>
      <c r="P10" s="131"/>
      <c r="Q10" s="133"/>
    </row>
    <row r="11" spans="1:17" ht="52.5">
      <c r="A11" s="31" t="s">
        <v>225</v>
      </c>
      <c r="B11" s="32"/>
      <c r="C11" s="117"/>
      <c r="D11" s="32"/>
      <c r="E11" s="32"/>
      <c r="F11" s="32"/>
      <c r="G11" s="32"/>
      <c r="H11" s="32"/>
      <c r="I11" s="32"/>
      <c r="J11" s="32"/>
      <c r="K11" s="32"/>
      <c r="L11" s="32"/>
      <c r="M11" s="32"/>
      <c r="N11" s="32"/>
      <c r="O11" s="32"/>
      <c r="P11" s="32"/>
      <c r="Q11" s="134" t="s">
        <v>226</v>
      </c>
    </row>
    <row r="12" spans="1:17">
      <c r="A12" s="97" t="s">
        <v>227</v>
      </c>
      <c r="B12" s="97" t="s">
        <v>228</v>
      </c>
      <c r="C12" s="135" t="s">
        <v>229</v>
      </c>
      <c r="D12" s="128" t="s">
        <v>206</v>
      </c>
      <c r="E12" s="102" t="s">
        <v>230</v>
      </c>
      <c r="F12" s="136">
        <v>27155172.199999999</v>
      </c>
      <c r="G12" s="136"/>
      <c r="H12" s="136"/>
      <c r="I12" s="137">
        <v>22406009.592844099</v>
      </c>
      <c r="J12" s="97">
        <v>26259</v>
      </c>
      <c r="K12" s="97" t="s">
        <v>231</v>
      </c>
      <c r="L12" s="138"/>
      <c r="M12" s="138" t="s">
        <v>232</v>
      </c>
      <c r="N12" s="97" t="s">
        <v>233</v>
      </c>
      <c r="O12" s="124" t="s">
        <v>234</v>
      </c>
      <c r="P12" s="107">
        <v>0.25929999999999997</v>
      </c>
      <c r="Q12" s="97"/>
    </row>
    <row r="13" spans="1:17">
      <c r="A13" s="35" t="s">
        <v>235</v>
      </c>
      <c r="B13" s="63" t="s">
        <v>236</v>
      </c>
      <c r="C13" s="139" t="s">
        <v>237</v>
      </c>
      <c r="D13" s="37" t="s">
        <v>206</v>
      </c>
      <c r="E13" s="35" t="s">
        <v>238</v>
      </c>
      <c r="F13" s="62">
        <v>19300000</v>
      </c>
      <c r="G13" s="140"/>
      <c r="H13" s="136"/>
      <c r="I13" s="137">
        <v>17964316.185247801</v>
      </c>
      <c r="J13" s="35">
        <v>25786</v>
      </c>
      <c r="K13" s="35" t="s">
        <v>239</v>
      </c>
      <c r="L13" s="141"/>
      <c r="M13" s="141" t="s">
        <v>240</v>
      </c>
      <c r="N13" s="35" t="s">
        <v>241</v>
      </c>
      <c r="O13" s="124" t="s">
        <v>234</v>
      </c>
      <c r="P13" s="109">
        <v>0.29499999999999998</v>
      </c>
      <c r="Q13" s="35"/>
    </row>
    <row r="14" spans="1:17">
      <c r="A14" s="142" t="s">
        <v>242</v>
      </c>
      <c r="B14" s="63" t="s">
        <v>243</v>
      </c>
      <c r="C14" s="143" t="s">
        <v>244</v>
      </c>
      <c r="D14" s="37" t="s">
        <v>206</v>
      </c>
      <c r="E14" s="35" t="s">
        <v>245</v>
      </c>
      <c r="F14" s="140">
        <v>38000000</v>
      </c>
      <c r="G14" s="140">
        <f>22572649.8+13116239.12+200000</f>
        <v>35888888.920000002</v>
      </c>
      <c r="H14" s="144">
        <v>0</v>
      </c>
      <c r="I14" s="137">
        <v>34455291.7117946</v>
      </c>
      <c r="J14" s="42">
        <v>27219</v>
      </c>
      <c r="K14" s="35" t="s">
        <v>246</v>
      </c>
      <c r="L14" s="141"/>
      <c r="M14" s="141" t="s">
        <v>232</v>
      </c>
      <c r="N14" s="35" t="s">
        <v>247</v>
      </c>
      <c r="O14" s="124" t="s">
        <v>234</v>
      </c>
      <c r="P14" s="109">
        <v>0.12920000000000001</v>
      </c>
      <c r="Q14" s="35"/>
    </row>
    <row r="15" spans="1:17">
      <c r="A15" s="35" t="s">
        <v>248</v>
      </c>
      <c r="B15" s="63" t="s">
        <v>249</v>
      </c>
      <c r="C15" s="143" t="s">
        <v>250</v>
      </c>
      <c r="D15" s="37" t="s">
        <v>206</v>
      </c>
      <c r="E15" s="35" t="s">
        <v>238</v>
      </c>
      <c r="F15" s="62">
        <v>25662876.539999999</v>
      </c>
      <c r="G15" s="140"/>
      <c r="H15" s="136"/>
      <c r="I15" s="137">
        <v>15837913.601127001</v>
      </c>
      <c r="J15" s="35">
        <v>25786</v>
      </c>
      <c r="K15" s="35" t="s">
        <v>251</v>
      </c>
      <c r="L15" s="141"/>
      <c r="M15" s="141" t="s">
        <v>252</v>
      </c>
      <c r="N15" s="35" t="s">
        <v>253</v>
      </c>
      <c r="O15" s="124" t="s">
        <v>234</v>
      </c>
      <c r="P15" s="109">
        <v>9.8000000000000004E-2</v>
      </c>
      <c r="Q15" s="35"/>
    </row>
    <row r="16" spans="1:17">
      <c r="A16" s="35" t="s">
        <v>254</v>
      </c>
      <c r="B16" s="63" t="s">
        <v>255</v>
      </c>
      <c r="C16" s="143" t="s">
        <v>256</v>
      </c>
      <c r="D16" s="37" t="s">
        <v>206</v>
      </c>
      <c r="E16" s="35" t="s">
        <v>257</v>
      </c>
      <c r="F16" s="62">
        <v>2561059</v>
      </c>
      <c r="G16" s="140">
        <v>1911110.89</v>
      </c>
      <c r="H16" s="136"/>
      <c r="I16" s="137">
        <v>1699321.0799545599</v>
      </c>
      <c r="J16" s="35">
        <v>26259</v>
      </c>
      <c r="K16" s="35" t="s">
        <v>251</v>
      </c>
      <c r="L16" s="141"/>
      <c r="M16" s="141" t="s">
        <v>258</v>
      </c>
      <c r="N16" s="35">
        <v>47635</v>
      </c>
      <c r="O16" s="124" t="s">
        <v>234</v>
      </c>
      <c r="P16" s="109">
        <v>3.5700000000000003E-2</v>
      </c>
      <c r="Q16" s="35"/>
    </row>
    <row r="17" spans="1:17">
      <c r="A17" s="35" t="s">
        <v>259</v>
      </c>
      <c r="B17" s="63" t="s">
        <v>260</v>
      </c>
      <c r="C17" s="143" t="s">
        <v>261</v>
      </c>
      <c r="D17" s="37" t="s">
        <v>206</v>
      </c>
      <c r="E17" s="35" t="s">
        <v>262</v>
      </c>
      <c r="F17" s="140">
        <v>10159090.859999999</v>
      </c>
      <c r="G17" s="140"/>
      <c r="H17" s="136"/>
      <c r="I17" s="137">
        <v>7892525.4158688998</v>
      </c>
      <c r="J17" s="35">
        <v>26259</v>
      </c>
      <c r="K17" s="35" t="s">
        <v>231</v>
      </c>
      <c r="L17" s="141"/>
      <c r="M17" s="141" t="s">
        <v>232</v>
      </c>
      <c r="N17" s="35" t="s">
        <v>263</v>
      </c>
      <c r="O17" s="124" t="s">
        <v>234</v>
      </c>
      <c r="P17" s="109">
        <v>0.1477</v>
      </c>
      <c r="Q17" s="35"/>
    </row>
    <row r="18" spans="1:17">
      <c r="A18" s="35" t="s">
        <v>264</v>
      </c>
      <c r="B18" s="63" t="s">
        <v>265</v>
      </c>
      <c r="C18" s="139" t="s">
        <v>266</v>
      </c>
      <c r="D18" s="37" t="s">
        <v>206</v>
      </c>
      <c r="E18" s="35" t="s">
        <v>267</v>
      </c>
      <c r="F18" s="140">
        <v>43648292.359999999</v>
      </c>
      <c r="G18" s="140"/>
      <c r="H18" s="136"/>
      <c r="I18" s="137">
        <v>37329067.767214097</v>
      </c>
      <c r="J18" s="35">
        <v>27219</v>
      </c>
      <c r="K18" s="42" t="s">
        <v>268</v>
      </c>
      <c r="L18" s="141"/>
      <c r="M18" s="141" t="s">
        <v>232</v>
      </c>
      <c r="N18" s="35" t="s">
        <v>247</v>
      </c>
      <c r="O18" s="124" t="s">
        <v>234</v>
      </c>
      <c r="P18" s="145">
        <v>0.12509999999999999</v>
      </c>
      <c r="Q18" s="35"/>
    </row>
    <row r="19" spans="1:17">
      <c r="A19" s="42" t="s">
        <v>269</v>
      </c>
      <c r="B19" s="91" t="s">
        <v>270</v>
      </c>
      <c r="C19" s="139" t="s">
        <v>266</v>
      </c>
      <c r="D19" s="37" t="s">
        <v>206</v>
      </c>
      <c r="E19" s="42" t="s">
        <v>257</v>
      </c>
      <c r="F19" s="146">
        <v>13486939.949999999</v>
      </c>
      <c r="G19" s="146">
        <f>6000000+1500000+1500000+1500000+2986939.95</f>
        <v>13486939.949999999</v>
      </c>
      <c r="H19" s="136">
        <f>F19-G19</f>
        <v>0</v>
      </c>
      <c r="I19" s="137">
        <v>12437261.6358379</v>
      </c>
      <c r="J19" s="35">
        <v>27219</v>
      </c>
      <c r="K19" s="35" t="s">
        <v>251</v>
      </c>
      <c r="L19" s="141"/>
      <c r="M19" s="141" t="s">
        <v>252</v>
      </c>
      <c r="N19" s="147">
        <v>47635</v>
      </c>
      <c r="O19" s="124" t="s">
        <v>234</v>
      </c>
      <c r="P19" s="148">
        <v>5.3400000000000003E-2</v>
      </c>
      <c r="Q19" s="35"/>
    </row>
    <row r="20" spans="1:17">
      <c r="A20" s="35" t="s">
        <v>271</v>
      </c>
      <c r="B20" s="63" t="s">
        <v>272</v>
      </c>
      <c r="C20" s="139" t="s">
        <v>273</v>
      </c>
      <c r="D20" s="37" t="s">
        <v>206</v>
      </c>
      <c r="E20" s="35" t="s">
        <v>238</v>
      </c>
      <c r="F20" s="140">
        <v>17900000</v>
      </c>
      <c r="G20" s="140"/>
      <c r="H20" s="136"/>
      <c r="I20" s="137">
        <v>14423051.9431579</v>
      </c>
      <c r="J20" s="35">
        <v>25786</v>
      </c>
      <c r="K20" s="35" t="s">
        <v>231</v>
      </c>
      <c r="L20" s="141"/>
      <c r="M20" s="141" t="s">
        <v>274</v>
      </c>
      <c r="N20" s="35" t="s">
        <v>275</v>
      </c>
      <c r="O20" s="124" t="s">
        <v>234</v>
      </c>
      <c r="P20" s="109">
        <v>0.216</v>
      </c>
      <c r="Q20" s="35"/>
    </row>
    <row r="21" spans="1:17">
      <c r="A21" s="35" t="s">
        <v>276</v>
      </c>
      <c r="B21" s="91" t="s">
        <v>173</v>
      </c>
      <c r="C21" s="139" t="s">
        <v>277</v>
      </c>
      <c r="D21" s="37" t="s">
        <v>206</v>
      </c>
      <c r="E21" s="35" t="s">
        <v>238</v>
      </c>
      <c r="F21" s="140">
        <v>17950000</v>
      </c>
      <c r="G21" s="140"/>
      <c r="H21" s="136"/>
      <c r="I21" s="137">
        <v>14697491.8610934</v>
      </c>
      <c r="J21" s="35">
        <v>25786</v>
      </c>
      <c r="K21" s="35" t="s">
        <v>231</v>
      </c>
      <c r="L21" s="141"/>
      <c r="M21" s="141" t="s">
        <v>274</v>
      </c>
      <c r="N21" s="35" t="s">
        <v>275</v>
      </c>
      <c r="O21" s="124" t="s">
        <v>234</v>
      </c>
      <c r="P21" s="109">
        <v>0.26</v>
      </c>
      <c r="Q21" s="35"/>
    </row>
    <row r="22" spans="1:17">
      <c r="A22" s="35" t="s">
        <v>278</v>
      </c>
      <c r="B22" s="63" t="s">
        <v>279</v>
      </c>
      <c r="C22" s="139" t="s">
        <v>277</v>
      </c>
      <c r="D22" s="37" t="s">
        <v>206</v>
      </c>
      <c r="E22" s="35" t="s">
        <v>280</v>
      </c>
      <c r="F22" s="140">
        <v>2773535.57</v>
      </c>
      <c r="G22" s="146">
        <f>1000000+1773535.57</f>
        <v>2773535.5700000003</v>
      </c>
      <c r="H22" s="144">
        <v>0</v>
      </c>
      <c r="I22" s="137">
        <v>2416012.98970258</v>
      </c>
      <c r="J22" s="35">
        <v>27219</v>
      </c>
      <c r="K22" s="35" t="s">
        <v>281</v>
      </c>
      <c r="L22" s="141"/>
      <c r="M22" s="141" t="s">
        <v>282</v>
      </c>
      <c r="N22" s="35" t="s">
        <v>283</v>
      </c>
      <c r="O22" s="124" t="s">
        <v>234</v>
      </c>
      <c r="P22" s="109">
        <v>2.3599999999999999E-2</v>
      </c>
      <c r="Q22" s="35"/>
    </row>
    <row r="23" spans="1:17">
      <c r="A23" s="35" t="s">
        <v>284</v>
      </c>
      <c r="B23" s="63" t="s">
        <v>285</v>
      </c>
      <c r="C23" s="139" t="s">
        <v>286</v>
      </c>
      <c r="D23" s="37" t="s">
        <v>206</v>
      </c>
      <c r="E23" s="42" t="s">
        <v>287</v>
      </c>
      <c r="F23" s="140">
        <v>72025684.019999996</v>
      </c>
      <c r="G23" s="140"/>
      <c r="H23" s="136"/>
      <c r="I23" s="137">
        <v>64594321.5792863</v>
      </c>
      <c r="J23" s="35">
        <v>26259</v>
      </c>
      <c r="K23" s="35" t="s">
        <v>239</v>
      </c>
      <c r="L23" s="141"/>
      <c r="M23" s="141" t="s">
        <v>240</v>
      </c>
      <c r="N23" s="35" t="s">
        <v>288</v>
      </c>
      <c r="O23" s="124" t="s">
        <v>234</v>
      </c>
      <c r="P23" s="109">
        <v>0.29049999999999998</v>
      </c>
      <c r="Q23" s="35"/>
    </row>
    <row r="24" spans="1:17">
      <c r="A24" s="35" t="s">
        <v>289</v>
      </c>
      <c r="B24" s="35" t="s">
        <v>290</v>
      </c>
      <c r="C24" s="139" t="s">
        <v>291</v>
      </c>
      <c r="D24" s="37" t="s">
        <v>206</v>
      </c>
      <c r="E24" s="42" t="s">
        <v>292</v>
      </c>
      <c r="F24" s="140">
        <v>35416280.539999999</v>
      </c>
      <c r="G24" s="140"/>
      <c r="H24" s="136"/>
      <c r="I24" s="137">
        <v>31571994.126022801</v>
      </c>
      <c r="J24" s="35">
        <v>26259</v>
      </c>
      <c r="K24" s="35" t="s">
        <v>239</v>
      </c>
      <c r="L24" s="141"/>
      <c r="M24" s="141" t="s">
        <v>240</v>
      </c>
      <c r="N24" s="35" t="s">
        <v>293</v>
      </c>
      <c r="O24" s="124" t="s">
        <v>234</v>
      </c>
      <c r="P24" s="109">
        <v>0.25209999999999999</v>
      </c>
      <c r="Q24" s="35"/>
    </row>
    <row r="25" spans="1:17">
      <c r="A25" s="35" t="s">
        <v>294</v>
      </c>
      <c r="B25" s="35" t="s">
        <v>295</v>
      </c>
      <c r="C25" s="143" t="s">
        <v>291</v>
      </c>
      <c r="D25" s="37" t="s">
        <v>206</v>
      </c>
      <c r="E25" s="42" t="s">
        <v>296</v>
      </c>
      <c r="F25" s="140">
        <v>4922692</v>
      </c>
      <c r="G25" s="140"/>
      <c r="H25" s="136"/>
      <c r="I25" s="137">
        <v>3462502.7447628998</v>
      </c>
      <c r="J25" s="35">
        <v>26259</v>
      </c>
      <c r="K25" s="35" t="s">
        <v>251</v>
      </c>
      <c r="L25" s="141"/>
      <c r="M25" s="141" t="s">
        <v>297</v>
      </c>
      <c r="N25" s="35" t="s">
        <v>298</v>
      </c>
      <c r="O25" s="124" t="s">
        <v>234</v>
      </c>
      <c r="P25" s="109">
        <v>4.9099999999999998E-2</v>
      </c>
      <c r="Q25" s="35"/>
    </row>
    <row r="26" spans="1:17">
      <c r="A26" s="35" t="s">
        <v>299</v>
      </c>
      <c r="B26" s="35" t="s">
        <v>300</v>
      </c>
      <c r="C26" s="139" t="s">
        <v>301</v>
      </c>
      <c r="D26" s="37" t="s">
        <v>206</v>
      </c>
      <c r="E26" s="42" t="s">
        <v>292</v>
      </c>
      <c r="F26" s="140">
        <v>5500000</v>
      </c>
      <c r="G26" s="140"/>
      <c r="H26" s="136"/>
      <c r="I26" s="137">
        <v>3542159.22736387</v>
      </c>
      <c r="J26" s="35">
        <v>26259</v>
      </c>
      <c r="K26" s="35" t="s">
        <v>251</v>
      </c>
      <c r="L26" s="141"/>
      <c r="M26" s="141" t="s">
        <v>252</v>
      </c>
      <c r="N26" s="35" t="s">
        <v>302</v>
      </c>
      <c r="O26" s="124" t="s">
        <v>234</v>
      </c>
      <c r="P26" s="109">
        <v>6.4600000000000005E-2</v>
      </c>
      <c r="Q26" s="35"/>
    </row>
    <row r="27" spans="1:17">
      <c r="A27" s="35" t="s">
        <v>303</v>
      </c>
      <c r="B27" s="35" t="s">
        <v>304</v>
      </c>
      <c r="C27" s="139" t="s">
        <v>301</v>
      </c>
      <c r="D27" s="37" t="s">
        <v>206</v>
      </c>
      <c r="E27" s="42" t="s">
        <v>305</v>
      </c>
      <c r="F27" s="140">
        <v>14077400.4</v>
      </c>
      <c r="G27" s="140"/>
      <c r="H27" s="136"/>
      <c r="I27" s="137">
        <v>9901703.7031421196</v>
      </c>
      <c r="J27" s="35">
        <v>26259</v>
      </c>
      <c r="K27" s="35" t="s">
        <v>251</v>
      </c>
      <c r="L27" s="141"/>
      <c r="M27" s="141" t="s">
        <v>297</v>
      </c>
      <c r="N27" s="35" t="s">
        <v>306</v>
      </c>
      <c r="O27" s="124" t="s">
        <v>234</v>
      </c>
      <c r="P27" s="109">
        <v>0.1482</v>
      </c>
      <c r="Q27" s="35"/>
    </row>
    <row r="28" spans="1:17">
      <c r="A28" s="35" t="s">
        <v>307</v>
      </c>
      <c r="B28" s="35" t="s">
        <v>308</v>
      </c>
      <c r="C28" s="139" t="s">
        <v>309</v>
      </c>
      <c r="D28" s="37" t="s">
        <v>206</v>
      </c>
      <c r="E28" s="42" t="s">
        <v>310</v>
      </c>
      <c r="F28" s="140">
        <v>14861111.109999999</v>
      </c>
      <c r="G28" s="140"/>
      <c r="H28" s="136"/>
      <c r="I28" s="137">
        <v>11058915.811534399</v>
      </c>
      <c r="J28" s="35">
        <v>26259</v>
      </c>
      <c r="K28" s="35" t="s">
        <v>231</v>
      </c>
      <c r="L28" s="141"/>
      <c r="M28" s="141" t="s">
        <v>232</v>
      </c>
      <c r="N28" s="35" t="s">
        <v>146</v>
      </c>
      <c r="O28" s="124" t="s">
        <v>234</v>
      </c>
      <c r="P28" s="109">
        <v>0.1225</v>
      </c>
      <c r="Q28" s="35"/>
    </row>
    <row r="29" spans="1:17">
      <c r="A29" s="35" t="s">
        <v>311</v>
      </c>
      <c r="B29" s="35" t="s">
        <v>312</v>
      </c>
      <c r="C29" s="139" t="s">
        <v>313</v>
      </c>
      <c r="D29" s="37" t="s">
        <v>206</v>
      </c>
      <c r="E29" s="42" t="s">
        <v>305</v>
      </c>
      <c r="F29" s="140">
        <v>15134157.99</v>
      </c>
      <c r="G29" s="140"/>
      <c r="H29" s="136"/>
      <c r="I29" s="137">
        <v>9627529.6156919301</v>
      </c>
      <c r="J29" s="35">
        <v>26259</v>
      </c>
      <c r="K29" s="35" t="s">
        <v>251</v>
      </c>
      <c r="L29" s="141"/>
      <c r="M29" s="141" t="s">
        <v>297</v>
      </c>
      <c r="N29" s="35" t="s">
        <v>306</v>
      </c>
      <c r="O29" s="124" t="s">
        <v>234</v>
      </c>
      <c r="P29" s="109">
        <v>0.13</v>
      </c>
      <c r="Q29" s="35"/>
    </row>
    <row r="30" spans="1:17">
      <c r="A30" s="35" t="s">
        <v>314</v>
      </c>
      <c r="B30" s="35" t="s">
        <v>315</v>
      </c>
      <c r="C30" s="139" t="s">
        <v>316</v>
      </c>
      <c r="D30" s="37" t="s">
        <v>206</v>
      </c>
      <c r="E30" s="42" t="s">
        <v>262</v>
      </c>
      <c r="F30" s="140">
        <v>35085806.409999996</v>
      </c>
      <c r="G30" s="140"/>
      <c r="H30" s="136"/>
      <c r="I30" s="137">
        <v>30861953.3080143</v>
      </c>
      <c r="J30" s="35">
        <v>26259</v>
      </c>
      <c r="K30" s="35" t="s">
        <v>239</v>
      </c>
      <c r="L30" s="141"/>
      <c r="M30" s="141" t="s">
        <v>240</v>
      </c>
      <c r="N30" s="35" t="s">
        <v>263</v>
      </c>
      <c r="O30" s="124" t="s">
        <v>234</v>
      </c>
      <c r="P30" s="109">
        <v>0.21279999999999999</v>
      </c>
      <c r="Q30" s="35"/>
    </row>
    <row r="31" spans="1:17">
      <c r="A31" s="35" t="s">
        <v>317</v>
      </c>
      <c r="B31" s="63" t="s">
        <v>318</v>
      </c>
      <c r="C31" s="139" t="s">
        <v>319</v>
      </c>
      <c r="D31" s="37" t="s">
        <v>206</v>
      </c>
      <c r="E31" s="35" t="s">
        <v>238</v>
      </c>
      <c r="F31" s="140">
        <v>19200000</v>
      </c>
      <c r="G31" s="140"/>
      <c r="H31" s="136"/>
      <c r="I31" s="137">
        <v>12281223.1135426</v>
      </c>
      <c r="J31" s="35">
        <v>25786</v>
      </c>
      <c r="K31" s="35" t="s">
        <v>251</v>
      </c>
      <c r="L31" s="141"/>
      <c r="M31" s="141" t="s">
        <v>252</v>
      </c>
      <c r="N31" s="35" t="s">
        <v>253</v>
      </c>
      <c r="O31" s="124" t="s">
        <v>234</v>
      </c>
      <c r="P31" s="109">
        <v>0.14599999999999999</v>
      </c>
      <c r="Q31" s="35"/>
    </row>
    <row r="32" spans="1:17">
      <c r="A32" s="35" t="s">
        <v>320</v>
      </c>
      <c r="B32" s="35" t="s">
        <v>321</v>
      </c>
      <c r="C32" s="143" t="s">
        <v>322</v>
      </c>
      <c r="D32" s="37" t="s">
        <v>206</v>
      </c>
      <c r="E32" s="42" t="s">
        <v>262</v>
      </c>
      <c r="F32" s="140">
        <v>54688115.420000002</v>
      </c>
      <c r="G32" s="140"/>
      <c r="H32" s="136"/>
      <c r="I32" s="137">
        <v>43099501.372727104</v>
      </c>
      <c r="J32" s="35">
        <v>26259</v>
      </c>
      <c r="K32" s="35" t="s">
        <v>231</v>
      </c>
      <c r="L32" s="141"/>
      <c r="M32" s="141" t="s">
        <v>232</v>
      </c>
      <c r="N32" s="35" t="s">
        <v>263</v>
      </c>
      <c r="O32" s="124" t="s">
        <v>234</v>
      </c>
      <c r="P32" s="109">
        <v>0.26829999999999998</v>
      </c>
      <c r="Q32" s="35"/>
    </row>
    <row r="33" spans="1:17">
      <c r="A33" s="35" t="s">
        <v>323</v>
      </c>
      <c r="B33" s="35" t="s">
        <v>324</v>
      </c>
      <c r="C33" s="143" t="s">
        <v>322</v>
      </c>
      <c r="D33" s="37" t="s">
        <v>206</v>
      </c>
      <c r="E33" s="35" t="s">
        <v>325</v>
      </c>
      <c r="F33" s="140">
        <v>18900000</v>
      </c>
      <c r="G33" s="140"/>
      <c r="H33" s="136"/>
      <c r="I33" s="137">
        <v>15021186.571734199</v>
      </c>
      <c r="J33" s="35">
        <v>26729</v>
      </c>
      <c r="K33" s="35" t="s">
        <v>251</v>
      </c>
      <c r="L33" s="141"/>
      <c r="M33" s="141" t="s">
        <v>297</v>
      </c>
      <c r="N33" s="35" t="s">
        <v>326</v>
      </c>
      <c r="O33" s="124" t="s">
        <v>234</v>
      </c>
      <c r="P33" s="109">
        <v>8.1699999999999995E-2</v>
      </c>
      <c r="Q33" s="35"/>
    </row>
    <row r="34" spans="1:17">
      <c r="A34" s="149" t="s">
        <v>327</v>
      </c>
      <c r="B34" s="150" t="s">
        <v>328</v>
      </c>
      <c r="C34" s="151" t="s">
        <v>329</v>
      </c>
      <c r="D34" s="152" t="s">
        <v>206</v>
      </c>
      <c r="E34" s="149" t="s">
        <v>238</v>
      </c>
      <c r="F34" s="153">
        <v>7767216.5</v>
      </c>
      <c r="G34" s="153"/>
      <c r="H34" s="154"/>
      <c r="I34" s="154">
        <v>4655350.0889968099</v>
      </c>
      <c r="J34" s="149">
        <v>25786</v>
      </c>
      <c r="K34" s="149" t="s">
        <v>251</v>
      </c>
      <c r="L34" s="155"/>
      <c r="M34" s="155" t="s">
        <v>252</v>
      </c>
      <c r="N34" s="149" t="s">
        <v>253</v>
      </c>
      <c r="O34" s="156" t="s">
        <v>234</v>
      </c>
      <c r="P34" s="157">
        <v>0.125</v>
      </c>
      <c r="Q34" s="149"/>
    </row>
    <row r="35" spans="1:17">
      <c r="A35" s="35" t="s">
        <v>330</v>
      </c>
      <c r="B35" s="35" t="s">
        <v>331</v>
      </c>
      <c r="C35" s="143" t="s">
        <v>332</v>
      </c>
      <c r="D35" s="37" t="s">
        <v>206</v>
      </c>
      <c r="E35" s="42" t="s">
        <v>333</v>
      </c>
      <c r="F35" s="140">
        <v>89060000</v>
      </c>
      <c r="G35" s="140"/>
      <c r="H35" s="136"/>
      <c r="I35" s="137">
        <v>75140280.8237679</v>
      </c>
      <c r="J35" s="35">
        <v>26259</v>
      </c>
      <c r="K35" s="35" t="s">
        <v>231</v>
      </c>
      <c r="L35" s="141"/>
      <c r="M35" s="141" t="s">
        <v>232</v>
      </c>
      <c r="N35" s="35" t="s">
        <v>334</v>
      </c>
      <c r="O35" s="124" t="s">
        <v>234</v>
      </c>
      <c r="P35" s="109">
        <v>0.35</v>
      </c>
      <c r="Q35" s="35"/>
    </row>
    <row r="36" spans="1:17">
      <c r="A36" s="35" t="s">
        <v>335</v>
      </c>
      <c r="B36" s="63" t="s">
        <v>336</v>
      </c>
      <c r="C36" s="143" t="s">
        <v>337</v>
      </c>
      <c r="D36" s="37" t="s">
        <v>206</v>
      </c>
      <c r="E36" s="35" t="s">
        <v>238</v>
      </c>
      <c r="F36" s="140">
        <v>29468022.789999999</v>
      </c>
      <c r="G36" s="140"/>
      <c r="H36" s="136"/>
      <c r="I36" s="137">
        <v>27065763.795522299</v>
      </c>
      <c r="J36" s="35">
        <v>25786</v>
      </c>
      <c r="K36" s="35" t="s">
        <v>239</v>
      </c>
      <c r="L36" s="141"/>
      <c r="M36" s="141" t="s">
        <v>240</v>
      </c>
      <c r="N36" s="35" t="s">
        <v>241</v>
      </c>
      <c r="O36" s="124" t="s">
        <v>234</v>
      </c>
      <c r="P36" s="109">
        <v>0.23499999999999999</v>
      </c>
      <c r="Q36" s="35"/>
    </row>
    <row r="37" spans="1:17">
      <c r="A37" s="35" t="s">
        <v>338</v>
      </c>
      <c r="B37" s="35" t="s">
        <v>339</v>
      </c>
      <c r="C37" s="143" t="s">
        <v>337</v>
      </c>
      <c r="D37" s="37" t="s">
        <v>206</v>
      </c>
      <c r="E37" s="42" t="s">
        <v>340</v>
      </c>
      <c r="F37" s="140">
        <v>3500000</v>
      </c>
      <c r="G37" s="140"/>
      <c r="H37" s="136"/>
      <c r="I37" s="137">
        <v>2461815.5354164299</v>
      </c>
      <c r="J37" s="35">
        <v>26259</v>
      </c>
      <c r="K37" s="35" t="s">
        <v>251</v>
      </c>
      <c r="L37" s="141"/>
      <c r="M37" s="141" t="s">
        <v>297</v>
      </c>
      <c r="N37" s="35" t="s">
        <v>341</v>
      </c>
      <c r="O37" s="124" t="s">
        <v>234</v>
      </c>
      <c r="P37" s="109">
        <v>2.3300000000000001E-2</v>
      </c>
      <c r="Q37" s="35"/>
    </row>
    <row r="38" spans="1:17">
      <c r="A38" s="35" t="s">
        <v>342</v>
      </c>
      <c r="B38" s="35" t="s">
        <v>343</v>
      </c>
      <c r="C38" s="139" t="s">
        <v>344</v>
      </c>
      <c r="D38" s="37" t="s">
        <v>206</v>
      </c>
      <c r="E38" s="42" t="s">
        <v>333</v>
      </c>
      <c r="F38" s="140">
        <v>8000000</v>
      </c>
      <c r="G38" s="140"/>
      <c r="H38" s="136"/>
      <c r="I38" s="158">
        <v>0</v>
      </c>
      <c r="J38" s="35">
        <v>26259</v>
      </c>
      <c r="K38" s="35" t="s">
        <v>345</v>
      </c>
      <c r="L38" s="141"/>
      <c r="M38" s="141" t="s">
        <v>346</v>
      </c>
      <c r="N38" s="35" t="s">
        <v>347</v>
      </c>
      <c r="O38" s="124" t="s">
        <v>234</v>
      </c>
      <c r="P38" s="109">
        <v>0.14599999999999999</v>
      </c>
      <c r="Q38" s="35"/>
    </row>
    <row r="39" spans="1:17">
      <c r="A39" s="35" t="s">
        <v>348</v>
      </c>
      <c r="B39" s="91" t="s">
        <v>349</v>
      </c>
      <c r="C39" s="143" t="s">
        <v>350</v>
      </c>
      <c r="D39" s="37" t="s">
        <v>206</v>
      </c>
      <c r="E39" s="35" t="s">
        <v>238</v>
      </c>
      <c r="F39" s="140">
        <v>95000000</v>
      </c>
      <c r="G39" s="140"/>
      <c r="H39" s="136"/>
      <c r="I39" s="137">
        <v>78163226.776217207</v>
      </c>
      <c r="J39" s="35">
        <v>25786</v>
      </c>
      <c r="K39" s="35" t="s">
        <v>231</v>
      </c>
      <c r="L39" s="141"/>
      <c r="M39" s="141" t="s">
        <v>274</v>
      </c>
      <c r="N39" s="35" t="s">
        <v>275</v>
      </c>
      <c r="O39" s="124" t="s">
        <v>234</v>
      </c>
      <c r="P39" s="109">
        <v>0.35</v>
      </c>
      <c r="Q39" s="35"/>
    </row>
    <row r="40" spans="1:17">
      <c r="A40" s="35" t="s">
        <v>351</v>
      </c>
      <c r="B40" s="91" t="s">
        <v>352</v>
      </c>
      <c r="C40" s="139" t="s">
        <v>353</v>
      </c>
      <c r="D40" s="37" t="s">
        <v>206</v>
      </c>
      <c r="E40" s="42" t="s">
        <v>257</v>
      </c>
      <c r="F40" s="146">
        <v>2000000</v>
      </c>
      <c r="G40" s="146">
        <f>1800000+200000</f>
        <v>2000000</v>
      </c>
      <c r="H40" s="136">
        <f>F40-G40</f>
        <v>0</v>
      </c>
      <c r="I40" s="137">
        <v>466666.59</v>
      </c>
      <c r="J40" s="42">
        <v>27219</v>
      </c>
      <c r="K40" s="35" t="s">
        <v>354</v>
      </c>
      <c r="L40" s="141"/>
      <c r="M40" s="141" t="s">
        <v>355</v>
      </c>
      <c r="N40" s="42" t="s">
        <v>356</v>
      </c>
      <c r="O40" s="124" t="s">
        <v>234</v>
      </c>
      <c r="P40" s="148">
        <v>4.2599999999999999E-2</v>
      </c>
      <c r="Q40" s="35"/>
    </row>
    <row r="41" spans="1:17">
      <c r="A41" s="35" t="s">
        <v>357</v>
      </c>
      <c r="B41" s="63" t="s">
        <v>358</v>
      </c>
      <c r="C41" s="139" t="s">
        <v>359</v>
      </c>
      <c r="D41" s="37" t="s">
        <v>206</v>
      </c>
      <c r="E41" s="35" t="s">
        <v>333</v>
      </c>
      <c r="F41" s="140">
        <v>28007755</v>
      </c>
      <c r="G41" s="140"/>
      <c r="H41" s="136"/>
      <c r="I41" s="137">
        <v>18114260.2323616</v>
      </c>
      <c r="J41" s="35">
        <v>26259</v>
      </c>
      <c r="K41" s="35" t="s">
        <v>231</v>
      </c>
      <c r="L41" s="141"/>
      <c r="M41" s="141" t="s">
        <v>232</v>
      </c>
      <c r="N41" s="35" t="s">
        <v>334</v>
      </c>
      <c r="O41" s="124" t="s">
        <v>234</v>
      </c>
      <c r="P41" s="109">
        <v>0.12870000000000001</v>
      </c>
      <c r="Q41" s="35"/>
    </row>
    <row r="42" spans="1:17">
      <c r="A42" s="35" t="s">
        <v>360</v>
      </c>
      <c r="B42" s="63" t="s">
        <v>361</v>
      </c>
      <c r="C42" s="143" t="s">
        <v>362</v>
      </c>
      <c r="D42" s="37" t="s">
        <v>206</v>
      </c>
      <c r="E42" s="42" t="s">
        <v>363</v>
      </c>
      <c r="F42" s="140">
        <v>238393008</v>
      </c>
      <c r="G42" s="140"/>
      <c r="H42" s="136"/>
      <c r="I42" s="137">
        <v>187095143.15711299</v>
      </c>
      <c r="J42" s="35">
        <v>26259</v>
      </c>
      <c r="K42" s="42" t="s">
        <v>364</v>
      </c>
      <c r="L42" s="141"/>
      <c r="M42" s="141" t="s">
        <v>252</v>
      </c>
      <c r="N42" s="35" t="s">
        <v>365</v>
      </c>
      <c r="O42" s="124" t="s">
        <v>234</v>
      </c>
      <c r="P42" s="109">
        <v>0.22189999999999999</v>
      </c>
      <c r="Q42" s="35"/>
    </row>
    <row r="43" spans="1:17">
      <c r="A43" s="35" t="s">
        <v>366</v>
      </c>
      <c r="B43" s="35" t="s">
        <v>367</v>
      </c>
      <c r="C43" s="143" t="s">
        <v>368</v>
      </c>
      <c r="D43" s="37" t="s">
        <v>206</v>
      </c>
      <c r="E43" s="42" t="s">
        <v>310</v>
      </c>
      <c r="F43" s="140">
        <v>15900000</v>
      </c>
      <c r="G43" s="140"/>
      <c r="H43" s="136"/>
      <c r="I43" s="137">
        <v>13388288.618809801</v>
      </c>
      <c r="J43" s="35">
        <v>26259</v>
      </c>
      <c r="K43" s="35" t="s">
        <v>231</v>
      </c>
      <c r="L43" s="141"/>
      <c r="M43" s="141" t="s">
        <v>232</v>
      </c>
      <c r="N43" s="35" t="s">
        <v>146</v>
      </c>
      <c r="O43" s="124" t="s">
        <v>234</v>
      </c>
      <c r="P43" s="109">
        <v>0.34560000000000002</v>
      </c>
      <c r="Q43" s="35"/>
    </row>
    <row r="44" spans="1:17">
      <c r="A44" s="35" t="s">
        <v>369</v>
      </c>
      <c r="B44" s="35" t="s">
        <v>370</v>
      </c>
      <c r="C44" s="139" t="s">
        <v>371</v>
      </c>
      <c r="D44" s="37" t="s">
        <v>206</v>
      </c>
      <c r="E44" s="42" t="s">
        <v>292</v>
      </c>
      <c r="F44" s="140">
        <v>26788492.140000001</v>
      </c>
      <c r="G44" s="140"/>
      <c r="H44" s="136"/>
      <c r="I44" s="137">
        <v>22956630.890292201</v>
      </c>
      <c r="J44" s="35">
        <v>26259</v>
      </c>
      <c r="K44" s="35" t="s">
        <v>231</v>
      </c>
      <c r="L44" s="141"/>
      <c r="M44" s="141" t="s">
        <v>232</v>
      </c>
      <c r="N44" s="35" t="s">
        <v>263</v>
      </c>
      <c r="O44" s="124" t="s">
        <v>234</v>
      </c>
      <c r="P44" s="109">
        <v>0.1681</v>
      </c>
      <c r="Q44" s="35"/>
    </row>
    <row r="45" spans="1:17">
      <c r="A45" s="35" t="s">
        <v>372</v>
      </c>
      <c r="B45" s="63" t="s">
        <v>373</v>
      </c>
      <c r="C45" s="143" t="s">
        <v>374</v>
      </c>
      <c r="D45" s="37" t="s">
        <v>206</v>
      </c>
      <c r="E45" s="42" t="s">
        <v>375</v>
      </c>
      <c r="F45" s="140">
        <v>27790483.600000001</v>
      </c>
      <c r="G45" s="140"/>
      <c r="H45" s="136"/>
      <c r="I45" s="137">
        <v>22624374.956790399</v>
      </c>
      <c r="J45" s="35">
        <v>26259</v>
      </c>
      <c r="K45" s="35" t="s">
        <v>231</v>
      </c>
      <c r="L45" s="141"/>
      <c r="M45" s="141" t="s">
        <v>232</v>
      </c>
      <c r="N45" s="35" t="s">
        <v>376</v>
      </c>
      <c r="O45" s="124" t="s">
        <v>234</v>
      </c>
      <c r="P45" s="109">
        <v>0.21410000000000001</v>
      </c>
      <c r="Q45" s="35"/>
    </row>
    <row r="46" spans="1:17">
      <c r="A46" s="35" t="s">
        <v>377</v>
      </c>
      <c r="B46" s="35" t="s">
        <v>378</v>
      </c>
      <c r="C46" s="143" t="s">
        <v>374</v>
      </c>
      <c r="D46" s="37" t="s">
        <v>206</v>
      </c>
      <c r="E46" s="42" t="s">
        <v>230</v>
      </c>
      <c r="F46" s="140">
        <v>17000000</v>
      </c>
      <c r="G46" s="140"/>
      <c r="H46" s="136"/>
      <c r="I46" s="137">
        <v>14870871.1593739</v>
      </c>
      <c r="J46" s="35">
        <v>26259</v>
      </c>
      <c r="K46" s="35" t="s">
        <v>231</v>
      </c>
      <c r="L46" s="141"/>
      <c r="M46" s="141" t="s">
        <v>232</v>
      </c>
      <c r="N46" s="35" t="s">
        <v>233</v>
      </c>
      <c r="O46" s="124" t="s">
        <v>234</v>
      </c>
      <c r="P46" s="109">
        <v>0.1211</v>
      </c>
      <c r="Q46" s="35"/>
    </row>
    <row r="47" spans="1:17">
      <c r="A47" s="35" t="s">
        <v>379</v>
      </c>
      <c r="B47" s="63" t="s">
        <v>380</v>
      </c>
      <c r="C47" s="139" t="s">
        <v>381</v>
      </c>
      <c r="D47" s="37" t="s">
        <v>206</v>
      </c>
      <c r="E47" s="35" t="s">
        <v>238</v>
      </c>
      <c r="F47" s="140">
        <v>58160000</v>
      </c>
      <c r="G47" s="140"/>
      <c r="H47" s="136"/>
      <c r="I47" s="137">
        <v>53593726.442815997</v>
      </c>
      <c r="J47" s="35">
        <v>25786</v>
      </c>
      <c r="K47" s="42" t="s">
        <v>382</v>
      </c>
      <c r="L47" s="141"/>
      <c r="M47" s="141" t="s">
        <v>240</v>
      </c>
      <c r="N47" s="35" t="s">
        <v>241</v>
      </c>
      <c r="O47" s="124" t="s">
        <v>234</v>
      </c>
      <c r="P47" s="145">
        <v>0.17280000000000001</v>
      </c>
      <c r="Q47" s="35"/>
    </row>
    <row r="48" spans="1:17">
      <c r="A48" s="35" t="s">
        <v>383</v>
      </c>
      <c r="B48" s="63" t="s">
        <v>384</v>
      </c>
      <c r="C48" s="139" t="s">
        <v>385</v>
      </c>
      <c r="D48" s="37" t="s">
        <v>206</v>
      </c>
      <c r="E48" s="35" t="s">
        <v>386</v>
      </c>
      <c r="F48" s="140">
        <v>54824286.670000002</v>
      </c>
      <c r="G48" s="146">
        <f>24196420.61+27730138.6+100000</f>
        <v>52026559.210000001</v>
      </c>
      <c r="H48" s="144">
        <v>0</v>
      </c>
      <c r="I48" s="137">
        <v>45727230.303499199</v>
      </c>
      <c r="J48" s="35">
        <v>26259</v>
      </c>
      <c r="K48" s="35" t="s">
        <v>251</v>
      </c>
      <c r="L48" s="141"/>
      <c r="M48" s="141" t="s">
        <v>387</v>
      </c>
      <c r="N48" s="35" t="s">
        <v>388</v>
      </c>
      <c r="O48" s="124" t="s">
        <v>234</v>
      </c>
      <c r="P48" s="109">
        <v>0.22109999999999999</v>
      </c>
      <c r="Q48" s="35"/>
    </row>
    <row r="49" spans="1:17">
      <c r="A49" s="35" t="s">
        <v>389</v>
      </c>
      <c r="B49" s="35" t="s">
        <v>390</v>
      </c>
      <c r="C49" s="139" t="s">
        <v>391</v>
      </c>
      <c r="D49" s="37" t="s">
        <v>206</v>
      </c>
      <c r="E49" s="42" t="s">
        <v>305</v>
      </c>
      <c r="F49" s="140">
        <v>28299949.32</v>
      </c>
      <c r="G49" s="140"/>
      <c r="H49" s="136"/>
      <c r="I49" s="137">
        <v>25758091.676616501</v>
      </c>
      <c r="J49" s="35">
        <v>26259</v>
      </c>
      <c r="K49" s="35" t="s">
        <v>239</v>
      </c>
      <c r="L49" s="141"/>
      <c r="M49" s="141" t="s">
        <v>240</v>
      </c>
      <c r="N49" s="35" t="s">
        <v>392</v>
      </c>
      <c r="O49" s="124" t="s">
        <v>234</v>
      </c>
      <c r="P49" s="109">
        <v>0.19600000000000001</v>
      </c>
      <c r="Q49" s="35"/>
    </row>
    <row r="50" spans="1:17">
      <c r="A50" s="35" t="s">
        <v>393</v>
      </c>
      <c r="B50" s="63" t="s">
        <v>394</v>
      </c>
      <c r="C50" s="139" t="s">
        <v>395</v>
      </c>
      <c r="D50" s="37" t="s">
        <v>206</v>
      </c>
      <c r="E50" s="35" t="s">
        <v>396</v>
      </c>
      <c r="F50" s="140">
        <v>5500000</v>
      </c>
      <c r="G50" s="146">
        <v>3000000</v>
      </c>
      <c r="H50" s="144">
        <v>0</v>
      </c>
      <c r="I50" s="137">
        <v>2666275.6209758399</v>
      </c>
      <c r="J50" s="35">
        <v>27219</v>
      </c>
      <c r="K50" s="35" t="s">
        <v>251</v>
      </c>
      <c r="L50" s="141"/>
      <c r="M50" s="141" t="s">
        <v>297</v>
      </c>
      <c r="N50" s="35" t="s">
        <v>397</v>
      </c>
      <c r="O50" s="124" t="s">
        <v>234</v>
      </c>
      <c r="P50" s="109">
        <v>5.28E-2</v>
      </c>
      <c r="Q50" s="35"/>
    </row>
    <row r="51" spans="1:17">
      <c r="A51" s="35" t="s">
        <v>398</v>
      </c>
      <c r="B51" s="63" t="s">
        <v>399</v>
      </c>
      <c r="C51" s="139" t="s">
        <v>400</v>
      </c>
      <c r="D51" s="37" t="s">
        <v>206</v>
      </c>
      <c r="E51" s="42" t="s">
        <v>333</v>
      </c>
      <c r="F51" s="140">
        <v>19470966</v>
      </c>
      <c r="G51" s="140"/>
      <c r="H51" s="136"/>
      <c r="I51" s="137">
        <v>16533716.822967</v>
      </c>
      <c r="J51" s="35">
        <v>26259</v>
      </c>
      <c r="K51" s="35" t="s">
        <v>231</v>
      </c>
      <c r="L51" s="141"/>
      <c r="M51" s="141" t="s">
        <v>232</v>
      </c>
      <c r="N51" s="35" t="s">
        <v>334</v>
      </c>
      <c r="O51" s="124" t="s">
        <v>234</v>
      </c>
      <c r="P51" s="109">
        <v>0.1086</v>
      </c>
      <c r="Q51" s="35"/>
    </row>
    <row r="52" spans="1:17">
      <c r="A52" s="35" t="s">
        <v>401</v>
      </c>
      <c r="B52" s="63" t="s">
        <v>402</v>
      </c>
      <c r="C52" s="139" t="s">
        <v>403</v>
      </c>
      <c r="D52" s="37" t="s">
        <v>206</v>
      </c>
      <c r="E52" s="35" t="s">
        <v>310</v>
      </c>
      <c r="F52" s="140">
        <v>8581747.5600000005</v>
      </c>
      <c r="G52" s="140"/>
      <c r="H52" s="136"/>
      <c r="I52" s="137">
        <v>6453730.6443069102</v>
      </c>
      <c r="J52" s="35">
        <v>26259</v>
      </c>
      <c r="K52" s="35" t="s">
        <v>231</v>
      </c>
      <c r="L52" s="141"/>
      <c r="M52" s="141" t="s">
        <v>232</v>
      </c>
      <c r="N52" s="35" t="s">
        <v>146</v>
      </c>
      <c r="O52" s="124" t="s">
        <v>234</v>
      </c>
      <c r="P52" s="109">
        <v>0.10390000000000001</v>
      </c>
      <c r="Q52" s="35"/>
    </row>
    <row r="53" spans="1:17">
      <c r="A53" s="35" t="s">
        <v>404</v>
      </c>
      <c r="B53" s="63" t="s">
        <v>405</v>
      </c>
      <c r="C53" s="143" t="s">
        <v>406</v>
      </c>
      <c r="D53" s="37" t="s">
        <v>206</v>
      </c>
      <c r="E53" s="42" t="s">
        <v>287</v>
      </c>
      <c r="F53" s="140">
        <v>144062432.09</v>
      </c>
      <c r="G53" s="140"/>
      <c r="H53" s="136"/>
      <c r="I53" s="137">
        <v>123019149.33143701</v>
      </c>
      <c r="J53" s="35">
        <v>26259</v>
      </c>
      <c r="K53" s="42" t="s">
        <v>354</v>
      </c>
      <c r="L53" s="141"/>
      <c r="M53" s="141" t="s">
        <v>232</v>
      </c>
      <c r="N53" s="35" t="s">
        <v>407</v>
      </c>
      <c r="O53" s="124" t="s">
        <v>234</v>
      </c>
      <c r="P53" s="145">
        <v>0.2324</v>
      </c>
      <c r="Q53" s="35"/>
    </row>
    <row r="54" spans="1:17">
      <c r="A54" s="35" t="s">
        <v>408</v>
      </c>
      <c r="B54" s="35" t="s">
        <v>409</v>
      </c>
      <c r="C54" s="139" t="s">
        <v>410</v>
      </c>
      <c r="D54" s="37" t="s">
        <v>206</v>
      </c>
      <c r="E54" s="35" t="s">
        <v>386</v>
      </c>
      <c r="F54" s="140">
        <v>80124990.659999996</v>
      </c>
      <c r="G54" s="146">
        <f>60395261.38+1240047+2000000+6759953+7000000</f>
        <v>77395261.379999995</v>
      </c>
      <c r="H54" s="144">
        <v>0</v>
      </c>
      <c r="I54" s="137">
        <v>73216191.656444699</v>
      </c>
      <c r="J54" s="35">
        <v>26259</v>
      </c>
      <c r="K54" s="35" t="s">
        <v>246</v>
      </c>
      <c r="L54" s="141"/>
      <c r="M54" s="141" t="s">
        <v>232</v>
      </c>
      <c r="N54" s="35" t="s">
        <v>411</v>
      </c>
      <c r="O54" s="124" t="s">
        <v>234</v>
      </c>
      <c r="P54" s="109">
        <v>0.29959999999999998</v>
      </c>
      <c r="Q54" s="35"/>
    </row>
    <row r="55" spans="1:17">
      <c r="A55" s="35" t="s">
        <v>412</v>
      </c>
      <c r="B55" s="63" t="s">
        <v>413</v>
      </c>
      <c r="C55" s="143" t="s">
        <v>414</v>
      </c>
      <c r="D55" s="37" t="s">
        <v>206</v>
      </c>
      <c r="E55" s="35" t="s">
        <v>262</v>
      </c>
      <c r="F55" s="140">
        <v>4790000</v>
      </c>
      <c r="G55" s="140"/>
      <c r="H55" s="136"/>
      <c r="I55" s="137">
        <v>2454644.9795492799</v>
      </c>
      <c r="J55" s="35">
        <v>26259</v>
      </c>
      <c r="K55" s="35" t="s">
        <v>251</v>
      </c>
      <c r="L55" s="141"/>
      <c r="M55" s="141" t="s">
        <v>252</v>
      </c>
      <c r="N55" s="35" t="s">
        <v>302</v>
      </c>
      <c r="O55" s="124" t="s">
        <v>234</v>
      </c>
      <c r="P55" s="109">
        <v>8.7900000000000006E-2</v>
      </c>
      <c r="Q55" s="35"/>
    </row>
    <row r="56" spans="1:17">
      <c r="A56" s="35" t="s">
        <v>415</v>
      </c>
      <c r="B56" s="63" t="s">
        <v>416</v>
      </c>
      <c r="C56" s="143" t="s">
        <v>414</v>
      </c>
      <c r="D56" s="37" t="s">
        <v>206</v>
      </c>
      <c r="E56" s="35" t="s">
        <v>417</v>
      </c>
      <c r="F56" s="140">
        <v>2000000</v>
      </c>
      <c r="G56" s="140"/>
      <c r="H56" s="136"/>
      <c r="I56" s="137">
        <v>54974.317563411401</v>
      </c>
      <c r="J56" s="35">
        <v>26259</v>
      </c>
      <c r="K56" s="35" t="s">
        <v>345</v>
      </c>
      <c r="L56" s="141"/>
      <c r="M56" s="141" t="s">
        <v>346</v>
      </c>
      <c r="N56" s="35" t="s">
        <v>418</v>
      </c>
      <c r="O56" s="124" t="s">
        <v>234</v>
      </c>
      <c r="P56" s="109">
        <v>5.9499999999999997E-2</v>
      </c>
      <c r="Q56" s="35"/>
    </row>
    <row r="57" spans="1:17">
      <c r="A57" s="35" t="s">
        <v>419</v>
      </c>
      <c r="B57" s="63" t="s">
        <v>420</v>
      </c>
      <c r="C57" s="139" t="s">
        <v>421</v>
      </c>
      <c r="D57" s="37" t="s">
        <v>206</v>
      </c>
      <c r="E57" s="35" t="s">
        <v>422</v>
      </c>
      <c r="F57" s="140">
        <v>176000000</v>
      </c>
      <c r="G57" s="140">
        <v>176000000</v>
      </c>
      <c r="H57" s="144">
        <v>0</v>
      </c>
      <c r="I57" s="137">
        <v>149195327.214665</v>
      </c>
      <c r="J57" s="35">
        <v>26729</v>
      </c>
      <c r="K57" s="35" t="s">
        <v>251</v>
      </c>
      <c r="L57" s="141"/>
      <c r="M57" s="141" t="s">
        <v>297</v>
      </c>
      <c r="N57" s="35" t="s">
        <v>423</v>
      </c>
      <c r="O57" s="124" t="s">
        <v>234</v>
      </c>
      <c r="P57" s="109">
        <v>0.1804</v>
      </c>
      <c r="Q57" s="35"/>
    </row>
    <row r="58" spans="1:17">
      <c r="A58" s="35" t="s">
        <v>424</v>
      </c>
      <c r="B58" s="35" t="s">
        <v>425</v>
      </c>
      <c r="C58" s="139" t="s">
        <v>426</v>
      </c>
      <c r="D58" s="37" t="s">
        <v>206</v>
      </c>
      <c r="E58" s="42" t="s">
        <v>262</v>
      </c>
      <c r="F58" s="140">
        <v>9340000</v>
      </c>
      <c r="G58" s="146"/>
      <c r="H58" s="136"/>
      <c r="I58" s="137">
        <v>5966914.5490641901</v>
      </c>
      <c r="J58" s="35">
        <v>26259</v>
      </c>
      <c r="K58" s="35" t="s">
        <v>251</v>
      </c>
      <c r="L58" s="141"/>
      <c r="M58" s="141" t="s">
        <v>252</v>
      </c>
      <c r="N58" s="35" t="s">
        <v>302</v>
      </c>
      <c r="O58" s="124" t="s">
        <v>234</v>
      </c>
      <c r="P58" s="109">
        <v>0.16650000000000001</v>
      </c>
      <c r="Q58" s="35"/>
    </row>
    <row r="59" spans="1:17">
      <c r="A59" s="35" t="s">
        <v>427</v>
      </c>
      <c r="B59" s="63" t="s">
        <v>428</v>
      </c>
      <c r="C59" s="139" t="s">
        <v>429</v>
      </c>
      <c r="D59" s="37" t="s">
        <v>206</v>
      </c>
      <c r="E59" s="42" t="s">
        <v>287</v>
      </c>
      <c r="F59" s="140">
        <v>8158199.46</v>
      </c>
      <c r="G59" s="140"/>
      <c r="H59" s="136"/>
      <c r="I59" s="137">
        <v>5604764.1221368201</v>
      </c>
      <c r="J59" s="35">
        <v>26259</v>
      </c>
      <c r="K59" s="35" t="s">
        <v>251</v>
      </c>
      <c r="L59" s="141"/>
      <c r="M59" s="141" t="s">
        <v>252</v>
      </c>
      <c r="N59" s="35" t="s">
        <v>430</v>
      </c>
      <c r="O59" s="124" t="s">
        <v>234</v>
      </c>
      <c r="P59" s="109">
        <v>0.18870000000000001</v>
      </c>
      <c r="Q59" s="35"/>
    </row>
    <row r="60" spans="1:17">
      <c r="A60" s="35" t="s">
        <v>431</v>
      </c>
      <c r="B60" s="63" t="s">
        <v>432</v>
      </c>
      <c r="C60" s="139" t="s">
        <v>433</v>
      </c>
      <c r="D60" s="37" t="s">
        <v>206</v>
      </c>
      <c r="E60" s="42" t="s">
        <v>375</v>
      </c>
      <c r="F60" s="140">
        <v>10700000</v>
      </c>
      <c r="G60" s="140"/>
      <c r="H60" s="136"/>
      <c r="I60" s="137">
        <v>9524601.6463919003</v>
      </c>
      <c r="J60" s="35">
        <v>26259</v>
      </c>
      <c r="K60" s="35" t="s">
        <v>239</v>
      </c>
      <c r="L60" s="141"/>
      <c r="M60" s="141" t="s">
        <v>240</v>
      </c>
      <c r="N60" s="35" t="s">
        <v>434</v>
      </c>
      <c r="O60" s="124" t="s">
        <v>234</v>
      </c>
      <c r="P60" s="109">
        <v>0.17100000000000001</v>
      </c>
      <c r="Q60" s="35"/>
    </row>
    <row r="61" spans="1:17">
      <c r="A61" s="35" t="s">
        <v>435</v>
      </c>
      <c r="B61" s="35" t="s">
        <v>436</v>
      </c>
      <c r="C61" s="139" t="s">
        <v>437</v>
      </c>
      <c r="D61" s="37" t="s">
        <v>206</v>
      </c>
      <c r="E61" s="42" t="s">
        <v>438</v>
      </c>
      <c r="F61" s="140">
        <v>12248348</v>
      </c>
      <c r="G61" s="140"/>
      <c r="H61" s="136"/>
      <c r="I61" s="137">
        <v>8615192.4170247894</v>
      </c>
      <c r="J61" s="35">
        <v>26259</v>
      </c>
      <c r="K61" s="35" t="s">
        <v>251</v>
      </c>
      <c r="L61" s="141"/>
      <c r="M61" s="141" t="s">
        <v>252</v>
      </c>
      <c r="N61" s="35" t="s">
        <v>439</v>
      </c>
      <c r="O61" s="124" t="s">
        <v>234</v>
      </c>
      <c r="P61" s="109">
        <v>8.5300000000000001E-2</v>
      </c>
      <c r="Q61" s="35"/>
    </row>
    <row r="62" spans="1:17">
      <c r="A62" s="35" t="s">
        <v>440</v>
      </c>
      <c r="B62" s="35" t="s">
        <v>441</v>
      </c>
      <c r="C62" s="139" t="s">
        <v>442</v>
      </c>
      <c r="D62" s="37" t="s">
        <v>206</v>
      </c>
      <c r="E62" s="35" t="s">
        <v>292</v>
      </c>
      <c r="F62" s="140">
        <v>6287841</v>
      </c>
      <c r="G62" s="140"/>
      <c r="H62" s="136"/>
      <c r="I62" s="137">
        <v>4422715.6565795299</v>
      </c>
      <c r="J62" s="35">
        <v>26259</v>
      </c>
      <c r="K62" s="35" t="s">
        <v>251</v>
      </c>
      <c r="L62" s="141"/>
      <c r="M62" s="141" t="s">
        <v>252</v>
      </c>
      <c r="N62" s="35" t="s">
        <v>302</v>
      </c>
      <c r="O62" s="124" t="s">
        <v>234</v>
      </c>
      <c r="P62" s="109">
        <v>8.3199999999999996E-2</v>
      </c>
      <c r="Q62" s="35"/>
    </row>
    <row r="63" spans="1:17">
      <c r="A63" s="35" t="s">
        <v>443</v>
      </c>
      <c r="B63" s="63" t="s">
        <v>444</v>
      </c>
      <c r="C63" s="139" t="s">
        <v>445</v>
      </c>
      <c r="D63" s="37" t="s">
        <v>206</v>
      </c>
      <c r="E63" s="42" t="s">
        <v>375</v>
      </c>
      <c r="F63" s="140">
        <v>14939145</v>
      </c>
      <c r="G63" s="140"/>
      <c r="H63" s="136"/>
      <c r="I63" s="137">
        <v>12172704.5838759</v>
      </c>
      <c r="J63" s="35">
        <v>26259</v>
      </c>
      <c r="K63" s="35" t="s">
        <v>231</v>
      </c>
      <c r="L63" s="141"/>
      <c r="M63" s="141" t="s">
        <v>232</v>
      </c>
      <c r="N63" s="35" t="s">
        <v>376</v>
      </c>
      <c r="O63" s="124" t="s">
        <v>234</v>
      </c>
      <c r="P63" s="109">
        <v>0.15740000000000001</v>
      </c>
      <c r="Q63" s="35"/>
    </row>
    <row r="64" spans="1:17">
      <c r="A64" s="42" t="s">
        <v>446</v>
      </c>
      <c r="B64" s="42" t="s">
        <v>447</v>
      </c>
      <c r="C64" s="139" t="s">
        <v>448</v>
      </c>
      <c r="D64" s="37" t="s">
        <v>206</v>
      </c>
      <c r="E64" s="42" t="s">
        <v>280</v>
      </c>
      <c r="F64" s="146">
        <v>23323728.960000001</v>
      </c>
      <c r="G64" s="146">
        <f>19597796.8+2000000+370000</f>
        <v>21967796.800000001</v>
      </c>
      <c r="H64" s="144">
        <v>0</v>
      </c>
      <c r="I64" s="137">
        <v>21188165.832522299</v>
      </c>
      <c r="J64" s="42">
        <v>27219</v>
      </c>
      <c r="K64" s="35" t="s">
        <v>231</v>
      </c>
      <c r="L64" s="141"/>
      <c r="M64" s="141" t="s">
        <v>232</v>
      </c>
      <c r="N64" s="147">
        <v>49369</v>
      </c>
      <c r="O64" s="124" t="s">
        <v>234</v>
      </c>
      <c r="P64" s="148">
        <v>0.14630000000000001</v>
      </c>
      <c r="Q64" s="35"/>
    </row>
    <row r="65" spans="1:17">
      <c r="A65" s="35" t="s">
        <v>449</v>
      </c>
      <c r="B65" s="35" t="s">
        <v>450</v>
      </c>
      <c r="C65" s="139" t="s">
        <v>451</v>
      </c>
      <c r="D65" s="37" t="s">
        <v>206</v>
      </c>
      <c r="E65" s="42" t="s">
        <v>230</v>
      </c>
      <c r="F65" s="140">
        <v>21046737.350000001</v>
      </c>
      <c r="G65" s="140"/>
      <c r="H65" s="136"/>
      <c r="I65" s="137">
        <v>17831386.131891999</v>
      </c>
      <c r="J65" s="35">
        <v>26259</v>
      </c>
      <c r="K65" s="35" t="s">
        <v>231</v>
      </c>
      <c r="L65" s="141"/>
      <c r="M65" s="141" t="s">
        <v>232</v>
      </c>
      <c r="N65" s="35" t="s">
        <v>233</v>
      </c>
      <c r="O65" s="124" t="s">
        <v>234</v>
      </c>
      <c r="P65" s="109">
        <v>0.13400000000000001</v>
      </c>
      <c r="Q65" s="35"/>
    </row>
    <row r="66" spans="1:17">
      <c r="A66" s="35" t="s">
        <v>452</v>
      </c>
      <c r="B66" s="63" t="s">
        <v>453</v>
      </c>
      <c r="C66" s="143" t="s">
        <v>454</v>
      </c>
      <c r="D66" s="37" t="s">
        <v>206</v>
      </c>
      <c r="E66" s="35" t="s">
        <v>262</v>
      </c>
      <c r="F66" s="140">
        <v>21052631.739999998</v>
      </c>
      <c r="G66" s="140"/>
      <c r="H66" s="136"/>
      <c r="I66" s="137">
        <v>12219814.4072557</v>
      </c>
      <c r="J66" s="35">
        <v>26259</v>
      </c>
      <c r="K66" s="35" t="s">
        <v>251</v>
      </c>
      <c r="L66" s="141"/>
      <c r="M66" s="141" t="s">
        <v>252</v>
      </c>
      <c r="N66" s="35" t="s">
        <v>302</v>
      </c>
      <c r="O66" s="124" t="s">
        <v>234</v>
      </c>
      <c r="P66" s="157">
        <v>0.18210000000000001</v>
      </c>
      <c r="Q66" s="35"/>
    </row>
    <row r="67" spans="1:17">
      <c r="A67" s="42" t="s">
        <v>455</v>
      </c>
      <c r="B67" s="91" t="s">
        <v>456</v>
      </c>
      <c r="C67" s="139" t="s">
        <v>457</v>
      </c>
      <c r="D67" s="37" t="s">
        <v>206</v>
      </c>
      <c r="E67" s="42" t="s">
        <v>257</v>
      </c>
      <c r="F67" s="146">
        <v>300000000</v>
      </c>
      <c r="G67" s="140">
        <f>5606039.47+14493869.04+12035115.36+3628418.43+8135188.7+7850496.84+6896632.36+49675387.17+32303397.78+139873029.16+19502425.69</f>
        <v>300000000</v>
      </c>
      <c r="H67" s="136">
        <f>F67-G67</f>
        <v>0</v>
      </c>
      <c r="I67" s="137">
        <v>290656996.08758998</v>
      </c>
      <c r="J67" s="42">
        <v>27219</v>
      </c>
      <c r="K67" s="35" t="s">
        <v>231</v>
      </c>
      <c r="L67" s="141"/>
      <c r="M67" s="159" t="s">
        <v>458</v>
      </c>
      <c r="N67" s="42" t="s">
        <v>459</v>
      </c>
      <c r="O67" s="124" t="s">
        <v>234</v>
      </c>
      <c r="P67" s="160">
        <v>4.3099999999999999E-2</v>
      </c>
      <c r="Q67" s="35"/>
    </row>
    <row r="68" spans="1:17">
      <c r="A68" s="35" t="s">
        <v>460</v>
      </c>
      <c r="B68" s="149" t="s">
        <v>461</v>
      </c>
      <c r="C68" s="143" t="s">
        <v>462</v>
      </c>
      <c r="D68" s="37" t="s">
        <v>206</v>
      </c>
      <c r="E68" s="42" t="s">
        <v>438</v>
      </c>
      <c r="F68" s="140">
        <v>6000000</v>
      </c>
      <c r="G68" s="140"/>
      <c r="H68" s="136"/>
      <c r="I68" s="137">
        <v>4220255.2235710202</v>
      </c>
      <c r="J68" s="35">
        <v>26259</v>
      </c>
      <c r="K68" s="35" t="s">
        <v>251</v>
      </c>
      <c r="L68" s="141"/>
      <c r="M68" s="141" t="s">
        <v>252</v>
      </c>
      <c r="N68" s="35" t="s">
        <v>439</v>
      </c>
      <c r="O68" s="124" t="s">
        <v>234</v>
      </c>
      <c r="P68" s="109">
        <v>9.4200000000000006E-2</v>
      </c>
      <c r="Q68" s="35"/>
    </row>
    <row r="69" spans="1:17">
      <c r="A69" s="35" t="s">
        <v>463</v>
      </c>
      <c r="B69" s="35" t="s">
        <v>464</v>
      </c>
      <c r="C69" s="143" t="s">
        <v>465</v>
      </c>
      <c r="D69" s="37" t="s">
        <v>206</v>
      </c>
      <c r="E69" s="35" t="s">
        <v>238</v>
      </c>
      <c r="F69" s="140">
        <v>107299999.5</v>
      </c>
      <c r="G69" s="140"/>
      <c r="H69" s="136"/>
      <c r="I69" s="137">
        <v>99841011.7414992</v>
      </c>
      <c r="J69" s="35">
        <v>25786</v>
      </c>
      <c r="K69" s="42" t="s">
        <v>382</v>
      </c>
      <c r="L69" s="141"/>
      <c r="M69" s="141" t="s">
        <v>240</v>
      </c>
      <c r="N69" s="35" t="s">
        <v>241</v>
      </c>
      <c r="O69" s="124" t="s">
        <v>234</v>
      </c>
      <c r="P69" s="145">
        <v>0.1817</v>
      </c>
      <c r="Q69" s="35"/>
    </row>
    <row r="70" spans="1:17">
      <c r="A70" s="42" t="s">
        <v>466</v>
      </c>
      <c r="B70" s="35" t="s">
        <v>467</v>
      </c>
      <c r="C70" s="143" t="s">
        <v>465</v>
      </c>
      <c r="D70" s="37" t="s">
        <v>206</v>
      </c>
      <c r="E70" s="42" t="s">
        <v>468</v>
      </c>
      <c r="F70" s="146">
        <v>49324768.020000003</v>
      </c>
      <c r="G70" s="146">
        <f>18285714.29+6650000+10636232.99+5100000+8652820.74</f>
        <v>49324768.020000003</v>
      </c>
      <c r="H70" s="136">
        <f>F70-G70</f>
        <v>0</v>
      </c>
      <c r="I70" s="137">
        <v>48646259.711218096</v>
      </c>
      <c r="J70" s="42">
        <v>27219</v>
      </c>
      <c r="K70" s="35" t="s">
        <v>239</v>
      </c>
      <c r="L70" s="141"/>
      <c r="M70" s="141" t="s">
        <v>240</v>
      </c>
      <c r="N70" s="42" t="s">
        <v>469</v>
      </c>
      <c r="O70" s="124" t="s">
        <v>234</v>
      </c>
      <c r="P70" s="148">
        <v>9.2999999999999999E-2</v>
      </c>
      <c r="Q70" s="35"/>
    </row>
    <row r="71" spans="1:17">
      <c r="A71" s="161"/>
      <c r="B71" s="161"/>
      <c r="C71" s="161"/>
      <c r="D71" s="161"/>
      <c r="E71" s="161"/>
      <c r="F71" s="161"/>
      <c r="G71" s="161"/>
      <c r="H71" s="161"/>
      <c r="I71" s="161"/>
      <c r="J71" s="161"/>
      <c r="K71" s="161"/>
      <c r="L71" s="161"/>
      <c r="M71" s="161"/>
      <c r="N71" s="161"/>
      <c r="O71" s="162"/>
      <c r="P71" s="161"/>
      <c r="Q71" s="161"/>
    </row>
    <row r="72" spans="1:17">
      <c r="A72" s="116" t="s">
        <v>182</v>
      </c>
      <c r="B72" s="83"/>
      <c r="C72" s="83"/>
      <c r="D72" s="83"/>
      <c r="E72" s="83"/>
      <c r="F72" s="83"/>
      <c r="G72" s="83"/>
      <c r="H72" s="83"/>
      <c r="I72" s="83"/>
      <c r="J72" s="83"/>
      <c r="K72" s="83"/>
      <c r="L72" s="83"/>
      <c r="M72" s="83"/>
      <c r="N72" s="83"/>
      <c r="O72" s="83"/>
      <c r="P72" s="83"/>
      <c r="Q72" s="83"/>
    </row>
    <row r="73" spans="1:17">
      <c r="A73" s="116" t="s">
        <v>470</v>
      </c>
      <c r="B73" s="83"/>
      <c r="C73" s="83"/>
      <c r="D73" s="83"/>
      <c r="E73" s="83"/>
      <c r="F73" s="83"/>
      <c r="G73" s="83"/>
      <c r="H73" s="83"/>
      <c r="I73" s="116"/>
      <c r="J73" s="163"/>
      <c r="K73" s="164"/>
      <c r="L73" s="83"/>
      <c r="M73" s="83"/>
      <c r="N73" s="83"/>
      <c r="O73" s="83"/>
      <c r="P73" s="83"/>
      <c r="Q73"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1"/>
  <sheetViews>
    <sheetView workbookViewId="0">
      <selection activeCell="I58" sqref="I58"/>
    </sheetView>
  </sheetViews>
  <sheetFormatPr baseColWidth="10" defaultColWidth="14.3984375" defaultRowHeight="15" customHeight="1"/>
  <cols>
    <col min="3" max="3" width="30.1328125" customWidth="1"/>
    <col min="4" max="4" width="29.86328125" customWidth="1"/>
    <col min="5" max="5" width="19.3984375" customWidth="1"/>
    <col min="6" max="6" width="15.3984375" customWidth="1"/>
    <col min="7" max="7" width="14" customWidth="1"/>
    <col min="9" max="9" width="19.73046875" customWidth="1"/>
    <col min="10" max="10" width="26.1328125" customWidth="1"/>
    <col min="11" max="11" width="19" customWidth="1"/>
    <col min="13" max="13" width="15.1328125" customWidth="1"/>
    <col min="14" max="14" width="12.3984375" customWidth="1"/>
    <col min="15" max="15" width="11.265625" customWidth="1"/>
    <col min="16" max="16" width="14.265625" customWidth="1"/>
  </cols>
  <sheetData>
    <row r="1" spans="1:17" ht="39.4">
      <c r="A1" s="8" t="s">
        <v>6</v>
      </c>
      <c r="B1" s="8" t="s">
        <v>7</v>
      </c>
      <c r="C1" s="165" t="s">
        <v>471</v>
      </c>
      <c r="D1" s="8" t="s">
        <v>8</v>
      </c>
      <c r="E1" s="8" t="s">
        <v>10</v>
      </c>
      <c r="F1" s="7" t="s">
        <v>11</v>
      </c>
      <c r="G1" s="7" t="s">
        <v>12</v>
      </c>
      <c r="H1" s="7" t="s">
        <v>13</v>
      </c>
      <c r="I1" s="9" t="str">
        <f>"Monto Total Amortizable "&amp;""&amp; TEXT(Totales!$A$2,"dd mmmm e")</f>
        <v>Monto Total Amortizable 30 junio 2022</v>
      </c>
      <c r="J1" s="8" t="s">
        <v>472</v>
      </c>
      <c r="K1" s="8" t="s">
        <v>15</v>
      </c>
      <c r="L1" s="7" t="s">
        <v>16</v>
      </c>
      <c r="M1" s="8" t="s">
        <v>17</v>
      </c>
      <c r="N1" s="7" t="s">
        <v>18</v>
      </c>
      <c r="O1" s="7" t="s">
        <v>19</v>
      </c>
      <c r="P1" s="9" t="s">
        <v>185</v>
      </c>
      <c r="Q1" s="166"/>
    </row>
    <row r="2" spans="1:17" ht="17.649999999999999">
      <c r="A2" s="167" t="s">
        <v>473</v>
      </c>
      <c r="B2" s="168"/>
      <c r="C2" s="168"/>
      <c r="D2" s="168"/>
      <c r="E2" s="168"/>
      <c r="F2" s="168"/>
      <c r="G2" s="168"/>
      <c r="H2" s="168"/>
      <c r="I2" s="168"/>
      <c r="J2" s="168"/>
      <c r="K2" s="168"/>
      <c r="L2" s="168"/>
      <c r="M2" s="168"/>
      <c r="N2" s="168"/>
      <c r="O2" s="168"/>
      <c r="P2" s="117"/>
      <c r="Q2" s="169"/>
    </row>
    <row r="3" spans="1:17" ht="14.25">
      <c r="A3" s="97" t="s">
        <v>474</v>
      </c>
      <c r="B3" s="97" t="s">
        <v>475</v>
      </c>
      <c r="C3" s="135" t="s">
        <v>237</v>
      </c>
      <c r="D3" s="170" t="s">
        <v>476</v>
      </c>
      <c r="E3" s="97" t="s">
        <v>477</v>
      </c>
      <c r="F3" s="100">
        <v>30500000</v>
      </c>
      <c r="G3" s="100"/>
      <c r="H3" s="100"/>
      <c r="I3" s="101">
        <v>21770296</v>
      </c>
      <c r="J3" s="104" t="s">
        <v>478</v>
      </c>
      <c r="K3" s="171" t="s">
        <v>479</v>
      </c>
      <c r="L3" s="104"/>
      <c r="M3" s="104">
        <v>240</v>
      </c>
      <c r="N3" s="97" t="s">
        <v>407</v>
      </c>
      <c r="O3" s="172" t="s">
        <v>35</v>
      </c>
      <c r="P3" s="173">
        <v>0.5</v>
      </c>
      <c r="Q3" s="174"/>
    </row>
    <row r="4" spans="1:17" ht="14.25">
      <c r="A4" s="175" t="s">
        <v>480</v>
      </c>
      <c r="B4" s="175" t="s">
        <v>481</v>
      </c>
      <c r="C4" s="176" t="s">
        <v>482</v>
      </c>
      <c r="D4" s="177" t="s">
        <v>476</v>
      </c>
      <c r="E4" s="175" t="s">
        <v>483</v>
      </c>
      <c r="F4" s="178">
        <v>158000000</v>
      </c>
      <c r="G4" s="100"/>
      <c r="H4" s="178"/>
      <c r="I4" s="101">
        <v>12446921</v>
      </c>
      <c r="J4" s="179" t="s">
        <v>484</v>
      </c>
      <c r="K4" s="171" t="s">
        <v>485</v>
      </c>
      <c r="L4" s="179"/>
      <c r="M4" s="179">
        <v>120</v>
      </c>
      <c r="N4" s="175" t="s">
        <v>486</v>
      </c>
      <c r="O4" s="180" t="s">
        <v>35</v>
      </c>
      <c r="P4" s="181">
        <v>0.4</v>
      </c>
      <c r="Q4" s="182"/>
    </row>
    <row r="5" spans="1:17" ht="14.25">
      <c r="A5" s="175" t="s">
        <v>487</v>
      </c>
      <c r="B5" s="175" t="s">
        <v>488</v>
      </c>
      <c r="C5" s="176" t="s">
        <v>489</v>
      </c>
      <c r="D5" s="183" t="s">
        <v>490</v>
      </c>
      <c r="E5" s="175" t="s">
        <v>491</v>
      </c>
      <c r="F5" s="178">
        <v>1580701760</v>
      </c>
      <c r="G5" s="100"/>
      <c r="H5" s="178"/>
      <c r="I5" s="101">
        <v>791678786.50719297</v>
      </c>
      <c r="J5" s="184" t="s">
        <v>492</v>
      </c>
      <c r="K5" s="185" t="s">
        <v>493</v>
      </c>
      <c r="L5" s="179"/>
      <c r="M5" s="179">
        <v>212</v>
      </c>
      <c r="N5" s="175" t="s">
        <v>494</v>
      </c>
      <c r="O5" s="180" t="s">
        <v>35</v>
      </c>
      <c r="P5" s="181">
        <v>0.2</v>
      </c>
      <c r="Q5" s="182"/>
    </row>
    <row r="6" spans="1:17" ht="14.25">
      <c r="A6" s="175" t="s">
        <v>495</v>
      </c>
      <c r="B6" s="175" t="s">
        <v>496</v>
      </c>
      <c r="C6" s="176" t="s">
        <v>489</v>
      </c>
      <c r="D6" s="177" t="s">
        <v>497</v>
      </c>
      <c r="E6" s="175" t="s">
        <v>498</v>
      </c>
      <c r="F6" s="178">
        <v>1100000000</v>
      </c>
      <c r="G6" s="100"/>
      <c r="H6" s="178"/>
      <c r="I6" s="101">
        <v>524537145.80999899</v>
      </c>
      <c r="J6" s="179" t="s">
        <v>499</v>
      </c>
      <c r="K6" s="185" t="s">
        <v>500</v>
      </c>
      <c r="L6" s="179"/>
      <c r="M6" s="179">
        <v>240</v>
      </c>
      <c r="N6" s="175" t="s">
        <v>501</v>
      </c>
      <c r="O6" s="180" t="s">
        <v>35</v>
      </c>
      <c r="P6" s="181">
        <v>0.16</v>
      </c>
      <c r="Q6" s="186"/>
    </row>
    <row r="7" spans="1:17" ht="14.25">
      <c r="A7" s="175" t="s">
        <v>502</v>
      </c>
      <c r="B7" s="175" t="s">
        <v>503</v>
      </c>
      <c r="C7" s="176" t="s">
        <v>504</v>
      </c>
      <c r="D7" s="183" t="s">
        <v>505</v>
      </c>
      <c r="E7" s="175" t="s">
        <v>506</v>
      </c>
      <c r="F7" s="178">
        <v>8500000</v>
      </c>
      <c r="G7" s="178"/>
      <c r="H7" s="178"/>
      <c r="I7" s="101">
        <v>214000</v>
      </c>
      <c r="J7" s="184" t="s">
        <v>507</v>
      </c>
      <c r="K7" s="171" t="s">
        <v>479</v>
      </c>
      <c r="L7" s="179"/>
      <c r="M7" s="179">
        <v>120</v>
      </c>
      <c r="N7" s="175" t="s">
        <v>508</v>
      </c>
      <c r="O7" s="180" t="s">
        <v>35</v>
      </c>
      <c r="P7" s="181">
        <v>0.25</v>
      </c>
      <c r="Q7" s="174"/>
    </row>
    <row r="8" spans="1:17" ht="14.25">
      <c r="A8" s="187" t="s">
        <v>509</v>
      </c>
      <c r="B8" s="187" t="s">
        <v>510</v>
      </c>
      <c r="C8" s="188" t="s">
        <v>362</v>
      </c>
      <c r="D8" s="177" t="s">
        <v>490</v>
      </c>
      <c r="E8" s="187" t="s">
        <v>511</v>
      </c>
      <c r="F8" s="189">
        <v>34880000</v>
      </c>
      <c r="G8" s="190">
        <v>34880000</v>
      </c>
      <c r="H8" s="190">
        <v>0</v>
      </c>
      <c r="I8" s="101">
        <v>14429535.317151301</v>
      </c>
      <c r="J8" s="191" t="s">
        <v>512</v>
      </c>
      <c r="K8" s="185" t="s">
        <v>513</v>
      </c>
      <c r="L8" s="179"/>
      <c r="M8" s="192" t="s">
        <v>514</v>
      </c>
      <c r="N8" s="187" t="s">
        <v>515</v>
      </c>
      <c r="O8" s="124" t="s">
        <v>234</v>
      </c>
      <c r="P8" s="193">
        <v>4.3400000000000001E-2</v>
      </c>
      <c r="Q8" s="174"/>
    </row>
    <row r="9" spans="1:17" ht="14.25">
      <c r="A9" s="175" t="s">
        <v>516</v>
      </c>
      <c r="B9" s="175" t="s">
        <v>517</v>
      </c>
      <c r="C9" s="176" t="s">
        <v>518</v>
      </c>
      <c r="D9" s="177" t="s">
        <v>519</v>
      </c>
      <c r="E9" s="175" t="s">
        <v>520</v>
      </c>
      <c r="F9" s="178">
        <v>32000000</v>
      </c>
      <c r="G9" s="178"/>
      <c r="H9" s="178"/>
      <c r="I9" s="101">
        <v>0</v>
      </c>
      <c r="J9" s="179" t="s">
        <v>521</v>
      </c>
      <c r="K9" s="171" t="s">
        <v>522</v>
      </c>
      <c r="L9" s="179"/>
      <c r="M9" s="179">
        <v>120</v>
      </c>
      <c r="N9" s="175" t="s">
        <v>523</v>
      </c>
      <c r="O9" s="180" t="s">
        <v>35</v>
      </c>
      <c r="P9" s="181">
        <v>0.5</v>
      </c>
      <c r="Q9" s="174"/>
    </row>
    <row r="10" spans="1:17" ht="14.25">
      <c r="A10" s="175" t="s">
        <v>524</v>
      </c>
      <c r="B10" s="175" t="s">
        <v>525</v>
      </c>
      <c r="C10" s="176" t="s">
        <v>526</v>
      </c>
      <c r="D10" s="183" t="s">
        <v>527</v>
      </c>
      <c r="E10" s="175" t="s">
        <v>528</v>
      </c>
      <c r="F10" s="178">
        <v>953127062.03999996</v>
      </c>
      <c r="G10" s="178"/>
      <c r="H10" s="178"/>
      <c r="I10" s="101">
        <v>596701410.03999996</v>
      </c>
      <c r="J10" s="184" t="s">
        <v>529</v>
      </c>
      <c r="K10" s="171" t="s">
        <v>530</v>
      </c>
      <c r="L10" s="179"/>
      <c r="M10" s="179">
        <v>205</v>
      </c>
      <c r="N10" s="175" t="s">
        <v>531</v>
      </c>
      <c r="O10" s="180" t="s">
        <v>35</v>
      </c>
      <c r="P10" s="181">
        <v>0.9</v>
      </c>
      <c r="Q10" s="174"/>
    </row>
    <row r="11" spans="1:17" ht="14.25">
      <c r="A11" s="175" t="s">
        <v>532</v>
      </c>
      <c r="B11" s="175" t="s">
        <v>533</v>
      </c>
      <c r="C11" s="176" t="s">
        <v>457</v>
      </c>
      <c r="D11" s="188" t="s">
        <v>497</v>
      </c>
      <c r="E11" s="194" t="s">
        <v>534</v>
      </c>
      <c r="F11" s="195">
        <v>1237000000</v>
      </c>
      <c r="G11" s="195"/>
      <c r="H11" s="195"/>
      <c r="I11" s="101">
        <v>810701662.72999895</v>
      </c>
      <c r="J11" s="191" t="s">
        <v>535</v>
      </c>
      <c r="K11" s="185" t="s">
        <v>536</v>
      </c>
      <c r="L11" s="191"/>
      <c r="M11" s="191">
        <v>180</v>
      </c>
      <c r="N11" s="196" t="s">
        <v>537</v>
      </c>
      <c r="O11" s="197" t="s">
        <v>35</v>
      </c>
      <c r="P11" s="198">
        <v>0.28000000000000003</v>
      </c>
      <c r="Q11" s="174"/>
    </row>
    <row r="12" spans="1:17" ht="14.25">
      <c r="A12" s="175" t="s">
        <v>538</v>
      </c>
      <c r="B12" s="175" t="s">
        <v>539</v>
      </c>
      <c r="C12" s="176" t="s">
        <v>540</v>
      </c>
      <c r="D12" s="188" t="s">
        <v>206</v>
      </c>
      <c r="E12" s="196" t="s">
        <v>541</v>
      </c>
      <c r="F12" s="195">
        <v>5700000</v>
      </c>
      <c r="G12" s="195"/>
      <c r="H12" s="195"/>
      <c r="I12" s="195">
        <v>1023076.79999998</v>
      </c>
      <c r="J12" s="191" t="s">
        <v>542</v>
      </c>
      <c r="K12" s="171" t="s">
        <v>543</v>
      </c>
      <c r="L12" s="191"/>
      <c r="M12" s="191">
        <v>120</v>
      </c>
      <c r="N12" s="196" t="s">
        <v>544</v>
      </c>
      <c r="O12" s="197" t="s">
        <v>35</v>
      </c>
      <c r="P12" s="198">
        <v>0.16</v>
      </c>
      <c r="Q12" s="174"/>
    </row>
    <row r="13" spans="1:17" ht="14.25">
      <c r="A13" s="175" t="s">
        <v>545</v>
      </c>
      <c r="B13" s="175" t="s">
        <v>546</v>
      </c>
      <c r="C13" s="188" t="s">
        <v>547</v>
      </c>
      <c r="D13" s="176" t="s">
        <v>206</v>
      </c>
      <c r="E13" s="196" t="s">
        <v>548</v>
      </c>
      <c r="F13" s="195">
        <v>20000000</v>
      </c>
      <c r="G13" s="195"/>
      <c r="H13" s="195"/>
      <c r="I13" s="195">
        <v>5470085.54999997</v>
      </c>
      <c r="J13" s="199" t="s">
        <v>549</v>
      </c>
      <c r="K13" s="171" t="s">
        <v>550</v>
      </c>
      <c r="L13" s="191"/>
      <c r="M13" s="191">
        <v>120</v>
      </c>
      <c r="N13" s="196" t="s">
        <v>551</v>
      </c>
      <c r="O13" s="197" t="s">
        <v>35</v>
      </c>
      <c r="P13" s="198">
        <v>0.157</v>
      </c>
      <c r="Q13" s="174"/>
    </row>
    <row r="14" spans="1:17" ht="14.25">
      <c r="A14" s="187" t="s">
        <v>552</v>
      </c>
      <c r="B14" s="175" t="s">
        <v>553</v>
      </c>
      <c r="C14" s="176" t="s">
        <v>554</v>
      </c>
      <c r="D14" s="188" t="s">
        <v>206</v>
      </c>
      <c r="E14" s="196" t="s">
        <v>555</v>
      </c>
      <c r="F14" s="195">
        <v>5000000</v>
      </c>
      <c r="G14" s="195"/>
      <c r="H14" s="195"/>
      <c r="I14" s="195">
        <v>41666.270000006603</v>
      </c>
      <c r="J14" s="191" t="s">
        <v>556</v>
      </c>
      <c r="K14" s="171" t="s">
        <v>557</v>
      </c>
      <c r="L14" s="191"/>
      <c r="M14" s="191">
        <v>120</v>
      </c>
      <c r="N14" s="196" t="s">
        <v>558</v>
      </c>
      <c r="O14" s="197" t="s">
        <v>35</v>
      </c>
      <c r="P14" s="198" t="s">
        <v>559</v>
      </c>
      <c r="Q14" s="174"/>
    </row>
    <row r="15" spans="1:17" ht="14.25">
      <c r="A15" s="175" t="s">
        <v>560</v>
      </c>
      <c r="B15" s="175" t="s">
        <v>561</v>
      </c>
      <c r="C15" s="176" t="s">
        <v>562</v>
      </c>
      <c r="D15" s="188" t="s">
        <v>206</v>
      </c>
      <c r="E15" s="196" t="s">
        <v>563</v>
      </c>
      <c r="F15" s="195">
        <v>7500000</v>
      </c>
      <c r="G15" s="195"/>
      <c r="H15" s="195"/>
      <c r="I15" s="195">
        <v>2583332.94</v>
      </c>
      <c r="J15" s="191" t="s">
        <v>564</v>
      </c>
      <c r="K15" s="171" t="s">
        <v>565</v>
      </c>
      <c r="L15" s="191"/>
      <c r="M15" s="191">
        <v>180</v>
      </c>
      <c r="N15" s="196" t="s">
        <v>566</v>
      </c>
      <c r="O15" s="197" t="s">
        <v>35</v>
      </c>
      <c r="P15" s="198" t="s">
        <v>559</v>
      </c>
      <c r="Q15" s="174"/>
    </row>
    <row r="16" spans="1:17" ht="14.25">
      <c r="A16" s="175" t="s">
        <v>567</v>
      </c>
      <c r="B16" s="175" t="s">
        <v>568</v>
      </c>
      <c r="C16" s="176" t="s">
        <v>569</v>
      </c>
      <c r="D16" s="188" t="s">
        <v>206</v>
      </c>
      <c r="E16" s="196" t="s">
        <v>570</v>
      </c>
      <c r="F16" s="195">
        <v>25000000</v>
      </c>
      <c r="G16" s="195"/>
      <c r="H16" s="195"/>
      <c r="I16" s="195">
        <v>12219798.949999901</v>
      </c>
      <c r="J16" s="191" t="s">
        <v>571</v>
      </c>
      <c r="K16" s="171" t="s">
        <v>572</v>
      </c>
      <c r="L16" s="191"/>
      <c r="M16" s="191">
        <v>180</v>
      </c>
      <c r="N16" s="196" t="s">
        <v>573</v>
      </c>
      <c r="O16" s="197" t="s">
        <v>35</v>
      </c>
      <c r="P16" s="198">
        <v>0.77400000000000002</v>
      </c>
      <c r="Q16" s="174"/>
    </row>
    <row r="17" spans="1:17" ht="14.25">
      <c r="A17" s="175" t="s">
        <v>574</v>
      </c>
      <c r="B17" s="175" t="s">
        <v>575</v>
      </c>
      <c r="C17" s="176" t="s">
        <v>482</v>
      </c>
      <c r="D17" s="176" t="s">
        <v>206</v>
      </c>
      <c r="E17" s="196" t="s">
        <v>576</v>
      </c>
      <c r="F17" s="195">
        <v>60000000</v>
      </c>
      <c r="G17" s="195"/>
      <c r="H17" s="195"/>
      <c r="I17" s="195">
        <v>36962025.039999701</v>
      </c>
      <c r="J17" s="199" t="s">
        <v>577</v>
      </c>
      <c r="K17" s="185" t="s">
        <v>578</v>
      </c>
      <c r="L17" s="191"/>
      <c r="M17" s="191">
        <v>240</v>
      </c>
      <c r="N17" s="196" t="s">
        <v>247</v>
      </c>
      <c r="O17" s="197" t="s">
        <v>35</v>
      </c>
      <c r="P17" s="198">
        <v>0.35199999999999998</v>
      </c>
      <c r="Q17" s="174"/>
    </row>
    <row r="18" spans="1:17" ht="14.25">
      <c r="A18" s="175" t="s">
        <v>579</v>
      </c>
      <c r="B18" s="175" t="s">
        <v>580</v>
      </c>
      <c r="C18" s="176" t="s">
        <v>581</v>
      </c>
      <c r="D18" s="188" t="s">
        <v>206</v>
      </c>
      <c r="E18" s="196" t="s">
        <v>582</v>
      </c>
      <c r="F18" s="195">
        <v>17000000</v>
      </c>
      <c r="G18" s="195"/>
      <c r="H18" s="195"/>
      <c r="I18" s="195">
        <v>4750277.2200000295</v>
      </c>
      <c r="J18" s="191" t="s">
        <v>583</v>
      </c>
      <c r="K18" s="171" t="s">
        <v>584</v>
      </c>
      <c r="L18" s="191"/>
      <c r="M18" s="191">
        <v>120</v>
      </c>
      <c r="N18" s="196" t="s">
        <v>585</v>
      </c>
      <c r="O18" s="197" t="s">
        <v>35</v>
      </c>
      <c r="P18" s="198">
        <v>0.39300000000000002</v>
      </c>
      <c r="Q18" s="174"/>
    </row>
    <row r="19" spans="1:17" ht="14.25">
      <c r="A19" s="175" t="s">
        <v>586</v>
      </c>
      <c r="B19" s="175" t="s">
        <v>587</v>
      </c>
      <c r="C19" s="176" t="s">
        <v>588</v>
      </c>
      <c r="D19" s="176" t="s">
        <v>206</v>
      </c>
      <c r="E19" s="196" t="s">
        <v>589</v>
      </c>
      <c r="F19" s="195">
        <v>5400000</v>
      </c>
      <c r="G19" s="195"/>
      <c r="H19" s="195"/>
      <c r="I19" s="195">
        <v>1002610.54999999</v>
      </c>
      <c r="J19" s="199" t="s">
        <v>590</v>
      </c>
      <c r="K19" s="171" t="s">
        <v>591</v>
      </c>
      <c r="L19" s="191"/>
      <c r="M19" s="191">
        <v>120</v>
      </c>
      <c r="N19" s="196" t="s">
        <v>592</v>
      </c>
      <c r="O19" s="197" t="s">
        <v>35</v>
      </c>
      <c r="P19" s="198">
        <v>0.14899999999999999</v>
      </c>
      <c r="Q19" s="174"/>
    </row>
    <row r="20" spans="1:17" ht="14.25">
      <c r="A20" s="175" t="s">
        <v>593</v>
      </c>
      <c r="B20" s="175" t="s">
        <v>594</v>
      </c>
      <c r="C20" s="176" t="s">
        <v>595</v>
      </c>
      <c r="D20" s="188" t="s">
        <v>206</v>
      </c>
      <c r="E20" s="196" t="s">
        <v>596</v>
      </c>
      <c r="F20" s="195">
        <v>10000000</v>
      </c>
      <c r="G20" s="195"/>
      <c r="H20" s="195"/>
      <c r="I20" s="195">
        <v>1538461.0900000101</v>
      </c>
      <c r="J20" s="191" t="s">
        <v>597</v>
      </c>
      <c r="K20" s="171" t="s">
        <v>584</v>
      </c>
      <c r="L20" s="191"/>
      <c r="M20" s="191">
        <v>120</v>
      </c>
      <c r="N20" s="196" t="s">
        <v>598</v>
      </c>
      <c r="O20" s="197" t="s">
        <v>35</v>
      </c>
      <c r="P20" s="198">
        <v>0.46700000000000003</v>
      </c>
      <c r="Q20" s="174"/>
    </row>
    <row r="21" spans="1:17" ht="14.25">
      <c r="A21" s="175" t="s">
        <v>599</v>
      </c>
      <c r="B21" s="175" t="s">
        <v>600</v>
      </c>
      <c r="C21" s="176" t="s">
        <v>601</v>
      </c>
      <c r="D21" s="176" t="s">
        <v>206</v>
      </c>
      <c r="E21" s="196" t="s">
        <v>602</v>
      </c>
      <c r="F21" s="195">
        <v>13600000</v>
      </c>
      <c r="G21" s="195"/>
      <c r="H21" s="195"/>
      <c r="I21" s="195">
        <v>6761581.7599999802</v>
      </c>
      <c r="J21" s="199" t="s">
        <v>603</v>
      </c>
      <c r="K21" s="185" t="s">
        <v>604</v>
      </c>
      <c r="L21" s="191"/>
      <c r="M21" s="191">
        <v>180</v>
      </c>
      <c r="N21" s="196" t="s">
        <v>605</v>
      </c>
      <c r="O21" s="197" t="s">
        <v>35</v>
      </c>
      <c r="P21" s="200">
        <v>0.1167</v>
      </c>
      <c r="Q21" s="174"/>
    </row>
    <row r="22" spans="1:17" ht="14.25">
      <c r="A22" s="175" t="s">
        <v>606</v>
      </c>
      <c r="B22" s="201" t="s">
        <v>607</v>
      </c>
      <c r="C22" s="176" t="s">
        <v>608</v>
      </c>
      <c r="D22" s="188" t="s">
        <v>206</v>
      </c>
      <c r="E22" s="196" t="s">
        <v>609</v>
      </c>
      <c r="F22" s="195">
        <v>60000000</v>
      </c>
      <c r="G22" s="195"/>
      <c r="H22" s="195"/>
      <c r="I22" s="195">
        <v>23214285.420000002</v>
      </c>
      <c r="J22" s="191" t="s">
        <v>610</v>
      </c>
      <c r="K22" s="171" t="s">
        <v>611</v>
      </c>
      <c r="L22" s="191"/>
      <c r="M22" s="191">
        <v>180</v>
      </c>
      <c r="N22" s="196" t="s">
        <v>612</v>
      </c>
      <c r="O22" s="197" t="s">
        <v>35</v>
      </c>
      <c r="P22" s="198" t="s">
        <v>559</v>
      </c>
      <c r="Q22" s="174"/>
    </row>
    <row r="23" spans="1:17" ht="14.25">
      <c r="A23" s="175" t="s">
        <v>613</v>
      </c>
      <c r="B23" s="175" t="s">
        <v>614</v>
      </c>
      <c r="C23" s="176" t="s">
        <v>615</v>
      </c>
      <c r="D23" s="188" t="s">
        <v>206</v>
      </c>
      <c r="E23" s="196" t="s">
        <v>616</v>
      </c>
      <c r="F23" s="195">
        <v>17700000</v>
      </c>
      <c r="G23" s="195"/>
      <c r="H23" s="195"/>
      <c r="I23" s="195">
        <v>0</v>
      </c>
      <c r="J23" s="191" t="s">
        <v>617</v>
      </c>
      <c r="K23" s="171" t="s">
        <v>618</v>
      </c>
      <c r="L23" s="191"/>
      <c r="M23" s="191">
        <v>120</v>
      </c>
      <c r="N23" s="196" t="s">
        <v>619</v>
      </c>
      <c r="O23" s="197" t="s">
        <v>35</v>
      </c>
      <c r="P23" s="198">
        <v>0.16600000000000001</v>
      </c>
      <c r="Q23" s="174"/>
    </row>
    <row r="24" spans="1:17" ht="14.25">
      <c r="A24" s="187" t="s">
        <v>620</v>
      </c>
      <c r="B24" s="187" t="s">
        <v>621</v>
      </c>
      <c r="C24" s="188" t="s">
        <v>362</v>
      </c>
      <c r="D24" s="188" t="s">
        <v>206</v>
      </c>
      <c r="E24" s="194" t="s">
        <v>622</v>
      </c>
      <c r="F24" s="190">
        <v>150000000</v>
      </c>
      <c r="G24" s="190">
        <f>500000+29871656.45+14242327.59+105386015.96</f>
        <v>150000000</v>
      </c>
      <c r="H24" s="190">
        <f>F24-G24</f>
        <v>0</v>
      </c>
      <c r="I24" s="195">
        <v>138361179.416143</v>
      </c>
      <c r="J24" s="191" t="s">
        <v>512</v>
      </c>
      <c r="K24" s="185" t="s">
        <v>623</v>
      </c>
      <c r="L24" s="191"/>
      <c r="M24" s="202">
        <v>180</v>
      </c>
      <c r="N24" s="194" t="s">
        <v>624</v>
      </c>
      <c r="O24" s="124" t="s">
        <v>234</v>
      </c>
      <c r="P24" s="200">
        <v>0.15709999999999999</v>
      </c>
      <c r="Q24" s="174"/>
    </row>
    <row r="25" spans="1:17" ht="14.25">
      <c r="A25" s="175" t="s">
        <v>625</v>
      </c>
      <c r="B25" s="175" t="s">
        <v>626</v>
      </c>
      <c r="C25" s="176" t="s">
        <v>359</v>
      </c>
      <c r="D25" s="176" t="s">
        <v>206</v>
      </c>
      <c r="E25" s="196" t="s">
        <v>627</v>
      </c>
      <c r="F25" s="195">
        <v>8000000</v>
      </c>
      <c r="G25" s="195"/>
      <c r="H25" s="195"/>
      <c r="I25" s="195">
        <v>601156.80000003497</v>
      </c>
      <c r="J25" s="199" t="s">
        <v>628</v>
      </c>
      <c r="K25" s="171" t="s">
        <v>629</v>
      </c>
      <c r="L25" s="191"/>
      <c r="M25" s="191">
        <v>180</v>
      </c>
      <c r="N25" s="196" t="s">
        <v>630</v>
      </c>
      <c r="O25" s="197" t="s">
        <v>35</v>
      </c>
      <c r="P25" s="198" t="s">
        <v>631</v>
      </c>
      <c r="Q25" s="174"/>
    </row>
    <row r="26" spans="1:17" ht="14.25">
      <c r="A26" s="175" t="s">
        <v>632</v>
      </c>
      <c r="B26" s="175" t="s">
        <v>633</v>
      </c>
      <c r="C26" s="176" t="s">
        <v>634</v>
      </c>
      <c r="D26" s="188" t="s">
        <v>206</v>
      </c>
      <c r="E26" s="196" t="s">
        <v>635</v>
      </c>
      <c r="F26" s="195">
        <v>13000000</v>
      </c>
      <c r="G26" s="195"/>
      <c r="H26" s="195"/>
      <c r="I26" s="195">
        <v>2535452.72000005</v>
      </c>
      <c r="J26" s="191" t="s">
        <v>636</v>
      </c>
      <c r="K26" s="171" t="s">
        <v>637</v>
      </c>
      <c r="L26" s="191"/>
      <c r="M26" s="191">
        <v>180</v>
      </c>
      <c r="N26" s="196" t="s">
        <v>585</v>
      </c>
      <c r="O26" s="197" t="s">
        <v>35</v>
      </c>
      <c r="P26" s="198" t="s">
        <v>631</v>
      </c>
      <c r="Q26" s="174"/>
    </row>
    <row r="27" spans="1:17" ht="14.25">
      <c r="A27" s="175" t="s">
        <v>638</v>
      </c>
      <c r="B27" s="175" t="s">
        <v>639</v>
      </c>
      <c r="C27" s="176" t="s">
        <v>640</v>
      </c>
      <c r="D27" s="188" t="s">
        <v>206</v>
      </c>
      <c r="E27" s="196" t="s">
        <v>641</v>
      </c>
      <c r="F27" s="195">
        <v>5900000</v>
      </c>
      <c r="G27" s="195"/>
      <c r="H27" s="195"/>
      <c r="I27" s="195">
        <v>1365740.71</v>
      </c>
      <c r="J27" s="191" t="s">
        <v>642</v>
      </c>
      <c r="K27" s="171" t="s">
        <v>643</v>
      </c>
      <c r="L27" s="191"/>
      <c r="M27" s="191">
        <v>108</v>
      </c>
      <c r="N27" s="196" t="s">
        <v>644</v>
      </c>
      <c r="O27" s="197" t="s">
        <v>35</v>
      </c>
      <c r="P27" s="198">
        <v>0.16700000000000001</v>
      </c>
      <c r="Q27" s="174"/>
    </row>
    <row r="28" spans="1:17" ht="14.25">
      <c r="A28" s="175" t="s">
        <v>645</v>
      </c>
      <c r="B28" s="175" t="s">
        <v>580</v>
      </c>
      <c r="C28" s="176" t="s">
        <v>646</v>
      </c>
      <c r="D28" s="176" t="s">
        <v>206</v>
      </c>
      <c r="E28" s="196" t="s">
        <v>647</v>
      </c>
      <c r="F28" s="195">
        <v>6000000</v>
      </c>
      <c r="G28" s="195"/>
      <c r="H28" s="195"/>
      <c r="I28" s="195">
        <v>1779660.82</v>
      </c>
      <c r="J28" s="199" t="s">
        <v>648</v>
      </c>
      <c r="K28" s="171" t="s">
        <v>649</v>
      </c>
      <c r="L28" s="191"/>
      <c r="M28" s="191">
        <v>120</v>
      </c>
      <c r="N28" s="196" t="s">
        <v>650</v>
      </c>
      <c r="O28" s="197" t="s">
        <v>35</v>
      </c>
      <c r="P28" s="198">
        <v>0.114</v>
      </c>
      <c r="Q28" s="174"/>
    </row>
    <row r="29" spans="1:17" ht="14.25">
      <c r="A29" s="187" t="s">
        <v>651</v>
      </c>
      <c r="B29" s="175" t="s">
        <v>652</v>
      </c>
      <c r="C29" s="176" t="s">
        <v>653</v>
      </c>
      <c r="D29" s="188" t="s">
        <v>206</v>
      </c>
      <c r="E29" s="196" t="s">
        <v>143</v>
      </c>
      <c r="F29" s="195">
        <v>4100000</v>
      </c>
      <c r="G29" s="195"/>
      <c r="H29" s="195"/>
      <c r="I29" s="195">
        <v>68332.940000006201</v>
      </c>
      <c r="J29" s="191" t="s">
        <v>654</v>
      </c>
      <c r="K29" s="171" t="s">
        <v>655</v>
      </c>
      <c r="L29" s="191"/>
      <c r="M29" s="191">
        <v>120</v>
      </c>
      <c r="N29" s="196" t="s">
        <v>508</v>
      </c>
      <c r="O29" s="197" t="s">
        <v>35</v>
      </c>
      <c r="P29" s="198" t="s">
        <v>559</v>
      </c>
      <c r="Q29" s="174"/>
    </row>
    <row r="30" spans="1:17" ht="14.25">
      <c r="A30" s="175" t="s">
        <v>656</v>
      </c>
      <c r="B30" s="175" t="s">
        <v>657</v>
      </c>
      <c r="C30" s="176" t="s">
        <v>658</v>
      </c>
      <c r="D30" s="176" t="s">
        <v>206</v>
      </c>
      <c r="E30" s="196" t="s">
        <v>659</v>
      </c>
      <c r="F30" s="195">
        <v>19400000</v>
      </c>
      <c r="G30" s="195"/>
      <c r="H30" s="195"/>
      <c r="I30" s="195">
        <v>8738985.4799999706</v>
      </c>
      <c r="J30" s="199" t="s">
        <v>660</v>
      </c>
      <c r="K30" s="171" t="s">
        <v>661</v>
      </c>
      <c r="L30" s="191"/>
      <c r="M30" s="191">
        <v>180</v>
      </c>
      <c r="N30" s="196" t="s">
        <v>662</v>
      </c>
      <c r="O30" s="197" t="s">
        <v>35</v>
      </c>
      <c r="P30" s="198">
        <v>0.9</v>
      </c>
      <c r="Q30" s="174"/>
    </row>
    <row r="31" spans="1:17" ht="14.25">
      <c r="A31" s="175" t="s">
        <v>663</v>
      </c>
      <c r="B31" s="175" t="s">
        <v>664</v>
      </c>
      <c r="C31" s="176" t="s">
        <v>665</v>
      </c>
      <c r="D31" s="176" t="s">
        <v>206</v>
      </c>
      <c r="E31" s="196" t="s">
        <v>666</v>
      </c>
      <c r="F31" s="195">
        <v>5700000</v>
      </c>
      <c r="G31" s="195"/>
      <c r="H31" s="195"/>
      <c r="I31" s="195">
        <v>1107063.8899999899</v>
      </c>
      <c r="J31" s="199" t="s">
        <v>667</v>
      </c>
      <c r="K31" s="171" t="s">
        <v>668</v>
      </c>
      <c r="L31" s="191"/>
      <c r="M31" s="191">
        <v>120</v>
      </c>
      <c r="N31" s="196" t="s">
        <v>619</v>
      </c>
      <c r="O31" s="197" t="s">
        <v>35</v>
      </c>
      <c r="P31" s="198">
        <v>0.16700000000000001</v>
      </c>
      <c r="Q31" s="174"/>
    </row>
    <row r="32" spans="1:17" ht="14.25">
      <c r="A32" s="175" t="s">
        <v>669</v>
      </c>
      <c r="B32" s="175" t="s">
        <v>670</v>
      </c>
      <c r="C32" s="188" t="s">
        <v>671</v>
      </c>
      <c r="D32" s="188" t="s">
        <v>206</v>
      </c>
      <c r="E32" s="196" t="s">
        <v>672</v>
      </c>
      <c r="F32" s="195">
        <v>5620844</v>
      </c>
      <c r="G32" s="195"/>
      <c r="H32" s="195"/>
      <c r="I32" s="195">
        <v>2404444.51999998</v>
      </c>
      <c r="J32" s="191" t="s">
        <v>673</v>
      </c>
      <c r="K32" s="171" t="s">
        <v>668</v>
      </c>
      <c r="L32" s="191"/>
      <c r="M32" s="191">
        <v>240</v>
      </c>
      <c r="N32" s="196" t="s">
        <v>674</v>
      </c>
      <c r="O32" s="197" t="s">
        <v>35</v>
      </c>
      <c r="P32" s="198" t="s">
        <v>631</v>
      </c>
      <c r="Q32" s="174"/>
    </row>
    <row r="33" spans="1:17" ht="14.25">
      <c r="A33" s="175" t="s">
        <v>675</v>
      </c>
      <c r="B33" s="175" t="s">
        <v>676</v>
      </c>
      <c r="C33" s="188" t="s">
        <v>677</v>
      </c>
      <c r="D33" s="176" t="s">
        <v>206</v>
      </c>
      <c r="E33" s="196" t="s">
        <v>678</v>
      </c>
      <c r="F33" s="195">
        <v>13600000</v>
      </c>
      <c r="G33" s="195"/>
      <c r="H33" s="195"/>
      <c r="I33" s="195">
        <v>2818101.3100000098</v>
      </c>
      <c r="J33" s="199" t="s">
        <v>679</v>
      </c>
      <c r="K33" s="171" t="s">
        <v>680</v>
      </c>
      <c r="L33" s="191"/>
      <c r="M33" s="191">
        <v>180</v>
      </c>
      <c r="N33" s="196" t="s">
        <v>585</v>
      </c>
      <c r="O33" s="197" t="s">
        <v>35</v>
      </c>
      <c r="P33" s="198" t="s">
        <v>631</v>
      </c>
      <c r="Q33" s="174"/>
    </row>
    <row r="34" spans="1:17" ht="14.25">
      <c r="A34" s="187" t="s">
        <v>681</v>
      </c>
      <c r="B34" s="175" t="s">
        <v>682</v>
      </c>
      <c r="C34" s="176" t="s">
        <v>677</v>
      </c>
      <c r="D34" s="188" t="s">
        <v>206</v>
      </c>
      <c r="E34" s="196" t="s">
        <v>683</v>
      </c>
      <c r="F34" s="195">
        <v>6436800</v>
      </c>
      <c r="G34" s="195"/>
      <c r="H34" s="195"/>
      <c r="I34" s="195">
        <v>965520</v>
      </c>
      <c r="J34" s="191" t="s">
        <v>684</v>
      </c>
      <c r="K34" s="171" t="s">
        <v>685</v>
      </c>
      <c r="L34" s="191"/>
      <c r="M34" s="191">
        <v>120</v>
      </c>
      <c r="N34" s="196" t="s">
        <v>598</v>
      </c>
      <c r="O34" s="197" t="s">
        <v>35</v>
      </c>
      <c r="P34" s="198">
        <v>0.16600000000000001</v>
      </c>
      <c r="Q34" s="174"/>
    </row>
    <row r="35" spans="1:17" ht="14.25">
      <c r="A35" s="175" t="s">
        <v>686</v>
      </c>
      <c r="B35" s="175" t="s">
        <v>687</v>
      </c>
      <c r="C35" s="176" t="s">
        <v>381</v>
      </c>
      <c r="D35" s="176" t="s">
        <v>206</v>
      </c>
      <c r="E35" s="196" t="s">
        <v>688</v>
      </c>
      <c r="F35" s="195">
        <v>10000000</v>
      </c>
      <c r="G35" s="195"/>
      <c r="H35" s="195"/>
      <c r="I35" s="195">
        <v>111110.32000001099</v>
      </c>
      <c r="J35" s="199" t="s">
        <v>689</v>
      </c>
      <c r="K35" s="171" t="s">
        <v>690</v>
      </c>
      <c r="L35" s="191"/>
      <c r="M35" s="191">
        <v>180</v>
      </c>
      <c r="N35" s="196" t="s">
        <v>508</v>
      </c>
      <c r="O35" s="197" t="s">
        <v>35</v>
      </c>
      <c r="P35" s="198" t="s">
        <v>631</v>
      </c>
      <c r="Q35" s="174"/>
    </row>
    <row r="36" spans="1:17" ht="14.25">
      <c r="A36" s="175" t="s">
        <v>691</v>
      </c>
      <c r="B36" s="175" t="s">
        <v>692</v>
      </c>
      <c r="C36" s="176" t="s">
        <v>693</v>
      </c>
      <c r="D36" s="176" t="s">
        <v>206</v>
      </c>
      <c r="E36" s="196" t="s">
        <v>694</v>
      </c>
      <c r="F36" s="195">
        <v>6000000</v>
      </c>
      <c r="G36" s="195"/>
      <c r="H36" s="195"/>
      <c r="I36" s="195">
        <v>150000</v>
      </c>
      <c r="J36" s="199" t="s">
        <v>695</v>
      </c>
      <c r="K36" s="171" t="s">
        <v>696</v>
      </c>
      <c r="L36" s="191"/>
      <c r="M36" s="191">
        <v>120</v>
      </c>
      <c r="N36" s="196" t="s">
        <v>697</v>
      </c>
      <c r="O36" s="197" t="s">
        <v>35</v>
      </c>
      <c r="P36" s="198" t="s">
        <v>559</v>
      </c>
      <c r="Q36" s="174"/>
    </row>
    <row r="37" spans="1:17" ht="14.25">
      <c r="A37" s="175" t="s">
        <v>698</v>
      </c>
      <c r="B37" s="175" t="s">
        <v>699</v>
      </c>
      <c r="C37" s="176" t="s">
        <v>693</v>
      </c>
      <c r="D37" s="188" t="s">
        <v>206</v>
      </c>
      <c r="E37" s="196" t="s">
        <v>700</v>
      </c>
      <c r="F37" s="195">
        <v>10492789.380000001</v>
      </c>
      <c r="G37" s="195"/>
      <c r="H37" s="195"/>
      <c r="I37" s="195">
        <v>4327864.5400000298</v>
      </c>
      <c r="J37" s="191" t="s">
        <v>701</v>
      </c>
      <c r="K37" s="171" t="s">
        <v>702</v>
      </c>
      <c r="L37" s="191"/>
      <c r="M37" s="191">
        <v>180</v>
      </c>
      <c r="N37" s="196" t="s">
        <v>306</v>
      </c>
      <c r="O37" s="197" t="s">
        <v>35</v>
      </c>
      <c r="P37" s="198">
        <v>0.29499999999999998</v>
      </c>
      <c r="Q37" s="174"/>
    </row>
    <row r="38" spans="1:17" ht="14.25">
      <c r="A38" s="175" t="s">
        <v>703</v>
      </c>
      <c r="B38" s="175" t="s">
        <v>704</v>
      </c>
      <c r="C38" s="176" t="s">
        <v>705</v>
      </c>
      <c r="D38" s="188" t="s">
        <v>206</v>
      </c>
      <c r="E38" s="196" t="s">
        <v>706</v>
      </c>
      <c r="F38" s="195">
        <v>1895734</v>
      </c>
      <c r="G38" s="195"/>
      <c r="H38" s="195"/>
      <c r="I38" s="195">
        <v>201674.08000000301</v>
      </c>
      <c r="J38" s="191" t="s">
        <v>707</v>
      </c>
      <c r="K38" s="171" t="s">
        <v>708</v>
      </c>
      <c r="L38" s="191"/>
      <c r="M38" s="191">
        <v>144</v>
      </c>
      <c r="N38" s="196" t="s">
        <v>709</v>
      </c>
      <c r="O38" s="197" t="s">
        <v>35</v>
      </c>
      <c r="P38" s="198" t="s">
        <v>631</v>
      </c>
      <c r="Q38" s="174"/>
    </row>
    <row r="39" spans="1:17" ht="14.25">
      <c r="A39" s="175" t="s">
        <v>710</v>
      </c>
      <c r="B39" s="175" t="s">
        <v>711</v>
      </c>
      <c r="C39" s="188" t="s">
        <v>712</v>
      </c>
      <c r="D39" s="176" t="s">
        <v>206</v>
      </c>
      <c r="E39" s="196" t="s">
        <v>713</v>
      </c>
      <c r="F39" s="195">
        <v>18073666.289999999</v>
      </c>
      <c r="G39" s="195"/>
      <c r="H39" s="195"/>
      <c r="I39" s="195">
        <v>7451103.7400000095</v>
      </c>
      <c r="J39" s="199" t="s">
        <v>714</v>
      </c>
      <c r="K39" s="171" t="s">
        <v>715</v>
      </c>
      <c r="L39" s="191"/>
      <c r="M39" s="191">
        <v>177</v>
      </c>
      <c r="N39" s="196" t="s">
        <v>716</v>
      </c>
      <c r="O39" s="197" t="s">
        <v>35</v>
      </c>
      <c r="P39" s="198" t="s">
        <v>559</v>
      </c>
      <c r="Q39" s="174"/>
    </row>
    <row r="40" spans="1:17" ht="14.25">
      <c r="A40" s="175" t="s">
        <v>717</v>
      </c>
      <c r="B40" s="175" t="s">
        <v>718</v>
      </c>
      <c r="C40" s="176" t="s">
        <v>421</v>
      </c>
      <c r="D40" s="188" t="s">
        <v>206</v>
      </c>
      <c r="E40" s="196" t="s">
        <v>719</v>
      </c>
      <c r="F40" s="195">
        <v>250000000</v>
      </c>
      <c r="G40" s="195"/>
      <c r="H40" s="195"/>
      <c r="I40" s="195">
        <v>88697686.079999894</v>
      </c>
      <c r="J40" s="191" t="s">
        <v>720</v>
      </c>
      <c r="K40" s="185" t="s">
        <v>721</v>
      </c>
      <c r="L40" s="191"/>
      <c r="M40" s="191">
        <v>180</v>
      </c>
      <c r="N40" s="196" t="s">
        <v>592</v>
      </c>
      <c r="O40" s="197" t="s">
        <v>35</v>
      </c>
      <c r="P40" s="198">
        <v>0.21249999999999999</v>
      </c>
      <c r="Q40" s="174"/>
    </row>
    <row r="41" spans="1:17" ht="14.25">
      <c r="A41" s="175" t="s">
        <v>722</v>
      </c>
      <c r="B41" s="175" t="s">
        <v>722</v>
      </c>
      <c r="C41" s="176" t="s">
        <v>723</v>
      </c>
      <c r="D41" s="176" t="s">
        <v>206</v>
      </c>
      <c r="E41" s="196" t="s">
        <v>724</v>
      </c>
      <c r="F41" s="195">
        <v>431190000</v>
      </c>
      <c r="G41" s="195"/>
      <c r="H41" s="195"/>
      <c r="I41" s="195">
        <v>293500782.32999903</v>
      </c>
      <c r="J41" s="199" t="s">
        <v>725</v>
      </c>
      <c r="K41" s="185" t="s">
        <v>726</v>
      </c>
      <c r="L41" s="191"/>
      <c r="M41" s="191">
        <v>300</v>
      </c>
      <c r="N41" s="196" t="s">
        <v>263</v>
      </c>
      <c r="O41" s="197" t="s">
        <v>35</v>
      </c>
      <c r="P41" s="198">
        <v>0.32800000000000001</v>
      </c>
      <c r="Q41" s="174"/>
    </row>
    <row r="42" spans="1:17" ht="14.25">
      <c r="A42" s="175" t="s">
        <v>727</v>
      </c>
      <c r="B42" s="175" t="s">
        <v>728</v>
      </c>
      <c r="C42" s="176" t="s">
        <v>723</v>
      </c>
      <c r="D42" s="188" t="s">
        <v>206</v>
      </c>
      <c r="E42" s="196" t="s">
        <v>729</v>
      </c>
      <c r="F42" s="195">
        <v>300000000</v>
      </c>
      <c r="G42" s="195"/>
      <c r="H42" s="195"/>
      <c r="I42" s="195">
        <v>230901848.96000001</v>
      </c>
      <c r="J42" s="191" t="s">
        <v>730</v>
      </c>
      <c r="K42" s="185" t="s">
        <v>731</v>
      </c>
      <c r="L42" s="191"/>
      <c r="M42" s="191">
        <v>300</v>
      </c>
      <c r="N42" s="196" t="s">
        <v>732</v>
      </c>
      <c r="O42" s="197" t="s">
        <v>35</v>
      </c>
      <c r="P42" s="198">
        <v>0.22700000000000001</v>
      </c>
      <c r="Q42" s="174"/>
    </row>
    <row r="43" spans="1:17" ht="14.25">
      <c r="A43" s="175" t="s">
        <v>733</v>
      </c>
      <c r="B43" s="175" t="s">
        <v>734</v>
      </c>
      <c r="C43" s="176" t="s">
        <v>735</v>
      </c>
      <c r="D43" s="188" t="s">
        <v>206</v>
      </c>
      <c r="E43" s="196" t="s">
        <v>736</v>
      </c>
      <c r="F43" s="195">
        <v>3000000</v>
      </c>
      <c r="G43" s="195"/>
      <c r="H43" s="195"/>
      <c r="I43" s="195">
        <v>51137.149999994297</v>
      </c>
      <c r="J43" s="191" t="s">
        <v>737</v>
      </c>
      <c r="K43" s="171" t="s">
        <v>738</v>
      </c>
      <c r="L43" s="191"/>
      <c r="M43" s="191">
        <v>180</v>
      </c>
      <c r="N43" s="196" t="s">
        <v>697</v>
      </c>
      <c r="O43" s="197" t="s">
        <v>35</v>
      </c>
      <c r="P43" s="198" t="s">
        <v>631</v>
      </c>
      <c r="Q43" s="174"/>
    </row>
    <row r="44" spans="1:17" ht="14.25">
      <c r="A44" s="187" t="s">
        <v>739</v>
      </c>
      <c r="B44" s="175" t="s">
        <v>740</v>
      </c>
      <c r="C44" s="176" t="s">
        <v>735</v>
      </c>
      <c r="D44" s="176" t="s">
        <v>206</v>
      </c>
      <c r="E44" s="196" t="s">
        <v>741</v>
      </c>
      <c r="F44" s="195">
        <v>2173000</v>
      </c>
      <c r="G44" s="195"/>
      <c r="H44" s="195"/>
      <c r="I44" s="195">
        <v>36217.0599999962</v>
      </c>
      <c r="J44" s="199" t="s">
        <v>742</v>
      </c>
      <c r="K44" s="171" t="s">
        <v>743</v>
      </c>
      <c r="L44" s="191"/>
      <c r="M44" s="191">
        <v>120</v>
      </c>
      <c r="N44" s="196" t="s">
        <v>508</v>
      </c>
      <c r="O44" s="197" t="s">
        <v>35</v>
      </c>
      <c r="P44" s="198" t="s">
        <v>559</v>
      </c>
      <c r="Q44" s="174"/>
    </row>
    <row r="45" spans="1:17" ht="14.25">
      <c r="A45" s="175" t="s">
        <v>744</v>
      </c>
      <c r="B45" s="175" t="s">
        <v>745</v>
      </c>
      <c r="C45" s="176" t="s">
        <v>746</v>
      </c>
      <c r="D45" s="188" t="s">
        <v>206</v>
      </c>
      <c r="E45" s="196" t="s">
        <v>747</v>
      </c>
      <c r="F45" s="195">
        <v>28900000</v>
      </c>
      <c r="G45" s="195"/>
      <c r="H45" s="195"/>
      <c r="I45" s="195">
        <v>4563158.0800000401</v>
      </c>
      <c r="J45" s="191" t="s">
        <v>748</v>
      </c>
      <c r="K45" s="171" t="s">
        <v>749</v>
      </c>
      <c r="L45" s="191"/>
      <c r="M45" s="191">
        <v>120</v>
      </c>
      <c r="N45" s="196" t="s">
        <v>750</v>
      </c>
      <c r="O45" s="197" t="s">
        <v>35</v>
      </c>
      <c r="P45" s="198">
        <v>0.58099999999999996</v>
      </c>
      <c r="Q45" s="174"/>
    </row>
    <row r="46" spans="1:17" ht="14.25">
      <c r="A46" s="175" t="s">
        <v>751</v>
      </c>
      <c r="B46" s="201" t="s">
        <v>752</v>
      </c>
      <c r="C46" s="176" t="s">
        <v>753</v>
      </c>
      <c r="D46" s="176" t="s">
        <v>206</v>
      </c>
      <c r="E46" s="196" t="s">
        <v>754</v>
      </c>
      <c r="F46" s="195">
        <v>5000000</v>
      </c>
      <c r="G46" s="195"/>
      <c r="H46" s="195"/>
      <c r="I46" s="195">
        <v>982906.23999999603</v>
      </c>
      <c r="J46" s="199" t="s">
        <v>755</v>
      </c>
      <c r="K46" s="171" t="s">
        <v>756</v>
      </c>
      <c r="L46" s="191"/>
      <c r="M46" s="191">
        <v>120</v>
      </c>
      <c r="N46" s="196" t="s">
        <v>544</v>
      </c>
      <c r="O46" s="197" t="s">
        <v>35</v>
      </c>
      <c r="P46" s="198">
        <v>0.20699999999999999</v>
      </c>
      <c r="Q46" s="174"/>
    </row>
    <row r="47" spans="1:17" ht="14.25">
      <c r="A47" s="175" t="s">
        <v>757</v>
      </c>
      <c r="B47" s="175" t="s">
        <v>758</v>
      </c>
      <c r="C47" s="176" t="s">
        <v>759</v>
      </c>
      <c r="D47" s="188" t="s">
        <v>206</v>
      </c>
      <c r="E47" s="196" t="s">
        <v>760</v>
      </c>
      <c r="F47" s="195">
        <v>32900000</v>
      </c>
      <c r="G47" s="195"/>
      <c r="H47" s="195"/>
      <c r="I47" s="195">
        <v>15693678.1399999</v>
      </c>
      <c r="J47" s="191" t="s">
        <v>761</v>
      </c>
      <c r="K47" s="171" t="s">
        <v>762</v>
      </c>
      <c r="L47" s="191"/>
      <c r="M47" s="191">
        <v>180</v>
      </c>
      <c r="N47" s="196" t="s">
        <v>763</v>
      </c>
      <c r="O47" s="197" t="s">
        <v>35</v>
      </c>
      <c r="P47" s="198">
        <v>0.77300000000000002</v>
      </c>
      <c r="Q47" s="174"/>
    </row>
    <row r="48" spans="1:17" ht="14.25">
      <c r="A48" s="175" t="s">
        <v>764</v>
      </c>
      <c r="B48" s="175" t="s">
        <v>765</v>
      </c>
      <c r="C48" s="176" t="s">
        <v>766</v>
      </c>
      <c r="D48" s="176" t="s">
        <v>206</v>
      </c>
      <c r="E48" s="196" t="s">
        <v>767</v>
      </c>
      <c r="F48" s="195">
        <v>24431513</v>
      </c>
      <c r="G48" s="195"/>
      <c r="H48" s="195"/>
      <c r="I48" s="195">
        <v>11641090.0499999</v>
      </c>
      <c r="J48" s="199" t="s">
        <v>768</v>
      </c>
      <c r="K48" s="171" t="s">
        <v>769</v>
      </c>
      <c r="L48" s="191"/>
      <c r="M48" s="191">
        <v>180</v>
      </c>
      <c r="N48" s="196" t="s">
        <v>770</v>
      </c>
      <c r="O48" s="197" t="s">
        <v>35</v>
      </c>
      <c r="P48" s="198">
        <v>0.752</v>
      </c>
      <c r="Q48" s="174"/>
    </row>
    <row r="49" spans="1:17" ht="14.25">
      <c r="A49" s="187" t="s">
        <v>771</v>
      </c>
      <c r="B49" s="187" t="s">
        <v>772</v>
      </c>
      <c r="C49" s="188" t="s">
        <v>465</v>
      </c>
      <c r="D49" s="176" t="s">
        <v>206</v>
      </c>
      <c r="E49" s="194" t="s">
        <v>773</v>
      </c>
      <c r="F49" s="190">
        <v>17317695.309999999</v>
      </c>
      <c r="G49" s="190">
        <v>9815701.2100000009</v>
      </c>
      <c r="H49" s="190" t="s">
        <v>774</v>
      </c>
      <c r="I49" s="195">
        <v>9614178.6259845607</v>
      </c>
      <c r="J49" s="202" t="s">
        <v>775</v>
      </c>
      <c r="K49" s="185" t="s">
        <v>776</v>
      </c>
      <c r="L49" s="191"/>
      <c r="M49" s="202" t="s">
        <v>258</v>
      </c>
      <c r="N49" s="194" t="s">
        <v>777</v>
      </c>
      <c r="O49" s="197" t="s">
        <v>234</v>
      </c>
      <c r="P49" s="200">
        <v>5.5E-2</v>
      </c>
      <c r="Q49" s="174"/>
    </row>
    <row r="50" spans="1:17" ht="14.25">
      <c r="A50" s="175" t="s">
        <v>778</v>
      </c>
      <c r="B50" s="175" t="s">
        <v>779</v>
      </c>
      <c r="C50" s="183" t="s">
        <v>780</v>
      </c>
      <c r="D50" s="188" t="s">
        <v>206</v>
      </c>
      <c r="E50" s="196" t="s">
        <v>781</v>
      </c>
      <c r="F50" s="195">
        <v>30000000</v>
      </c>
      <c r="G50" s="195"/>
      <c r="H50" s="195"/>
      <c r="I50" s="195">
        <v>6982758.5899999402</v>
      </c>
      <c r="J50" s="191" t="s">
        <v>782</v>
      </c>
      <c r="K50" s="171" t="s">
        <v>783</v>
      </c>
      <c r="L50" s="191"/>
      <c r="M50" s="191">
        <v>120</v>
      </c>
      <c r="N50" s="196" t="s">
        <v>619</v>
      </c>
      <c r="O50" s="197" t="s">
        <v>35</v>
      </c>
      <c r="P50" s="198">
        <v>0.21</v>
      </c>
      <c r="Q50" s="174"/>
    </row>
    <row r="51" spans="1:17" ht="14.25">
      <c r="A51" s="175" t="s">
        <v>784</v>
      </c>
      <c r="B51" s="175" t="s">
        <v>785</v>
      </c>
      <c r="C51" s="183" t="s">
        <v>786</v>
      </c>
      <c r="D51" s="188" t="s">
        <v>206</v>
      </c>
      <c r="E51" s="196" t="s">
        <v>787</v>
      </c>
      <c r="F51" s="190">
        <v>6361000</v>
      </c>
      <c r="G51" s="195">
        <v>6361000</v>
      </c>
      <c r="H51" s="190">
        <v>0</v>
      </c>
      <c r="I51" s="195">
        <v>5856425.959423</v>
      </c>
      <c r="J51" s="202" t="s">
        <v>788</v>
      </c>
      <c r="K51" s="203">
        <v>9.5399999999999999E-2</v>
      </c>
      <c r="L51" s="191"/>
      <c r="M51" s="202" t="s">
        <v>789</v>
      </c>
      <c r="N51" s="194" t="s">
        <v>790</v>
      </c>
      <c r="O51" s="197" t="s">
        <v>791</v>
      </c>
      <c r="P51" s="200">
        <v>0.25</v>
      </c>
      <c r="Q51" s="174"/>
    </row>
    <row r="52" spans="1:17" ht="14.25">
      <c r="A52" s="187" t="s">
        <v>792</v>
      </c>
      <c r="B52" s="187" t="s">
        <v>793</v>
      </c>
      <c r="C52" s="177" t="s">
        <v>794</v>
      </c>
      <c r="D52" s="188" t="s">
        <v>206</v>
      </c>
      <c r="E52" s="194" t="s">
        <v>795</v>
      </c>
      <c r="F52" s="190">
        <v>5219999.33</v>
      </c>
      <c r="G52" s="195">
        <v>5219999.33</v>
      </c>
      <c r="H52" s="190">
        <v>0</v>
      </c>
      <c r="I52" s="195">
        <v>4805871.4138166597</v>
      </c>
      <c r="J52" s="202" t="s">
        <v>796</v>
      </c>
      <c r="K52" s="203">
        <v>9.2499999999999999E-2</v>
      </c>
      <c r="L52" s="191"/>
      <c r="M52" s="202" t="s">
        <v>789</v>
      </c>
      <c r="N52" s="194" t="s">
        <v>790</v>
      </c>
      <c r="O52" s="197" t="s">
        <v>791</v>
      </c>
      <c r="P52" s="200">
        <v>0.25</v>
      </c>
      <c r="Q52" s="174"/>
    </row>
    <row r="53" spans="1:17" ht="14.25">
      <c r="A53" s="187" t="s">
        <v>797</v>
      </c>
      <c r="B53" s="187" t="s">
        <v>798</v>
      </c>
      <c r="C53" s="177" t="s">
        <v>799</v>
      </c>
      <c r="D53" s="188" t="s">
        <v>206</v>
      </c>
      <c r="E53" s="194" t="s">
        <v>800</v>
      </c>
      <c r="F53" s="190">
        <v>6536999.5700000003</v>
      </c>
      <c r="G53" s="195">
        <v>6536999.5700000003</v>
      </c>
      <c r="H53" s="190">
        <v>0</v>
      </c>
      <c r="I53" s="195">
        <v>6536999.5700000003</v>
      </c>
      <c r="J53" s="202" t="s">
        <v>801</v>
      </c>
      <c r="K53" s="203">
        <v>0.10249999999999999</v>
      </c>
      <c r="L53" s="191"/>
      <c r="M53" s="202" t="s">
        <v>802</v>
      </c>
      <c r="N53" s="194" t="s">
        <v>790</v>
      </c>
      <c r="O53" s="197" t="s">
        <v>791</v>
      </c>
      <c r="P53" s="200">
        <v>0.25</v>
      </c>
      <c r="Q53" s="174"/>
    </row>
    <row r="54" spans="1:17" ht="14.25">
      <c r="A54" s="187" t="s">
        <v>803</v>
      </c>
      <c r="B54" s="187" t="s">
        <v>804</v>
      </c>
      <c r="C54" s="177" t="s">
        <v>805</v>
      </c>
      <c r="D54" s="188" t="s">
        <v>206</v>
      </c>
      <c r="E54" s="194" t="s">
        <v>806</v>
      </c>
      <c r="F54" s="190">
        <v>1830999.67</v>
      </c>
      <c r="G54" s="195">
        <v>1830999.67</v>
      </c>
      <c r="H54" s="190">
        <v>0</v>
      </c>
      <c r="I54" s="195">
        <v>1830999.67</v>
      </c>
      <c r="J54" s="202" t="s">
        <v>788</v>
      </c>
      <c r="K54" s="203">
        <v>0.10249999999999999</v>
      </c>
      <c r="L54" s="191"/>
      <c r="M54" s="202" t="s">
        <v>802</v>
      </c>
      <c r="N54" s="194" t="s">
        <v>790</v>
      </c>
      <c r="O54" s="197" t="s">
        <v>791</v>
      </c>
      <c r="P54" s="200">
        <v>0.25</v>
      </c>
      <c r="Q54" s="174"/>
    </row>
    <row r="55" spans="1:17" ht="14.25">
      <c r="A55" s="187" t="s">
        <v>807</v>
      </c>
      <c r="B55" s="187" t="s">
        <v>808</v>
      </c>
      <c r="C55" s="177" t="s">
        <v>322</v>
      </c>
      <c r="D55" s="188" t="s">
        <v>206</v>
      </c>
      <c r="E55" s="194" t="s">
        <v>809</v>
      </c>
      <c r="F55" s="190">
        <v>7950999.8300000001</v>
      </c>
      <c r="G55" s="195">
        <v>7950999.8300000001</v>
      </c>
      <c r="H55" s="190">
        <v>0</v>
      </c>
      <c r="I55" s="195">
        <v>7950999.8300000001</v>
      </c>
      <c r="J55" s="202" t="s">
        <v>788</v>
      </c>
      <c r="K55" s="203">
        <v>0.1072</v>
      </c>
      <c r="L55" s="191"/>
      <c r="M55" s="202" t="s">
        <v>810</v>
      </c>
      <c r="N55" s="194" t="s">
        <v>790</v>
      </c>
      <c r="O55" s="197" t="s">
        <v>791</v>
      </c>
      <c r="P55" s="200">
        <v>0.25</v>
      </c>
      <c r="Q55" s="174"/>
    </row>
    <row r="56" spans="1:17" ht="14.25">
      <c r="A56" s="204"/>
      <c r="B56" s="205"/>
      <c r="C56" s="206"/>
      <c r="D56" s="207"/>
      <c r="E56" s="208"/>
      <c r="F56" s="209"/>
      <c r="G56" s="209"/>
      <c r="H56" s="209"/>
      <c r="I56" s="209"/>
      <c r="J56" s="210"/>
      <c r="K56" s="211"/>
      <c r="L56" s="210"/>
      <c r="M56" s="210"/>
      <c r="N56" s="208"/>
      <c r="O56" s="212"/>
      <c r="P56" s="213"/>
      <c r="Q56" s="174"/>
    </row>
    <row r="57" spans="1:17" ht="17.649999999999999">
      <c r="A57" s="214" t="s">
        <v>811</v>
      </c>
      <c r="B57" s="215"/>
      <c r="C57" s="216"/>
      <c r="D57" s="215"/>
      <c r="E57" s="215"/>
      <c r="F57" s="215"/>
      <c r="G57" s="215"/>
      <c r="H57" s="215"/>
      <c r="I57" s="215"/>
      <c r="J57" s="215"/>
      <c r="K57" s="215"/>
      <c r="L57" s="215"/>
      <c r="M57" s="215"/>
      <c r="N57" s="215"/>
      <c r="O57" s="217"/>
      <c r="P57" s="217"/>
      <c r="Q57" s="218"/>
    </row>
    <row r="58" spans="1:17" ht="25.5">
      <c r="A58" s="102" t="s">
        <v>812</v>
      </c>
      <c r="B58" s="102" t="s">
        <v>813</v>
      </c>
      <c r="C58" s="170" t="s">
        <v>814</v>
      </c>
      <c r="D58" s="170" t="s">
        <v>815</v>
      </c>
      <c r="E58" s="196" t="s">
        <v>127</v>
      </c>
      <c r="F58" s="195">
        <v>85781162.280000001</v>
      </c>
      <c r="G58" s="190">
        <v>52000000</v>
      </c>
      <c r="H58" s="144">
        <f>F58-G58</f>
        <v>33781162.280000001</v>
      </c>
      <c r="I58" s="195">
        <v>26000000.02</v>
      </c>
      <c r="J58" s="219" t="s">
        <v>816</v>
      </c>
      <c r="K58" s="102" t="s">
        <v>817</v>
      </c>
      <c r="L58" s="138"/>
      <c r="M58" s="220" t="s">
        <v>818</v>
      </c>
      <c r="N58" s="56">
        <v>44902</v>
      </c>
      <c r="O58" s="123" t="s">
        <v>819</v>
      </c>
      <c r="P58" s="221"/>
      <c r="Q58" s="174"/>
    </row>
    <row r="59" spans="1:17" ht="14.25">
      <c r="A59" s="222"/>
      <c r="B59" s="223"/>
      <c r="C59" s="224"/>
      <c r="D59" s="225"/>
      <c r="E59" s="223"/>
      <c r="F59" s="226"/>
      <c r="G59" s="227"/>
      <c r="H59" s="227"/>
      <c r="I59" s="228"/>
      <c r="J59" s="229"/>
      <c r="K59" s="223"/>
      <c r="L59" s="230"/>
      <c r="M59" s="231"/>
      <c r="N59" s="223"/>
      <c r="O59" s="232"/>
      <c r="P59" s="233"/>
      <c r="Q59" s="174"/>
    </row>
    <row r="60" spans="1:17" ht="17.649999999999999">
      <c r="A60" s="234" t="s">
        <v>820</v>
      </c>
      <c r="B60" s="235"/>
      <c r="C60" s="236"/>
      <c r="D60" s="235"/>
      <c r="E60" s="235"/>
      <c r="F60" s="235"/>
      <c r="G60" s="235"/>
      <c r="H60" s="235"/>
      <c r="I60" s="235"/>
      <c r="J60" s="235"/>
      <c r="K60" s="235"/>
      <c r="L60" s="235"/>
      <c r="M60" s="235"/>
      <c r="N60" s="235"/>
      <c r="O60" s="237"/>
      <c r="P60" s="237"/>
      <c r="Q60" s="238"/>
    </row>
    <row r="61" spans="1:17" ht="17.649999999999999">
      <c r="A61" s="31" t="s">
        <v>821</v>
      </c>
      <c r="B61" s="32"/>
      <c r="C61" s="117"/>
      <c r="D61" s="32"/>
      <c r="E61" s="32"/>
      <c r="F61" s="32"/>
      <c r="G61" s="32"/>
      <c r="H61" s="32"/>
      <c r="I61" s="32"/>
      <c r="J61" s="32"/>
      <c r="K61" s="32"/>
      <c r="L61" s="32"/>
      <c r="M61" s="32"/>
      <c r="N61" s="32"/>
      <c r="O61" s="239"/>
      <c r="P61" s="239"/>
      <c r="Q61" s="238"/>
    </row>
    <row r="62" spans="1:17" ht="14.25">
      <c r="A62" s="97"/>
      <c r="B62" s="97" t="s">
        <v>822</v>
      </c>
      <c r="C62" s="120" t="s">
        <v>823</v>
      </c>
      <c r="D62" s="120" t="s">
        <v>824</v>
      </c>
      <c r="E62" s="97" t="s">
        <v>825</v>
      </c>
      <c r="F62" s="100">
        <f>29792210.28*1.16</f>
        <v>34558963.924800001</v>
      </c>
      <c r="G62" s="101"/>
      <c r="H62" s="101"/>
      <c r="I62" s="240">
        <v>0</v>
      </c>
      <c r="J62" s="97" t="s">
        <v>826</v>
      </c>
      <c r="K62" s="97" t="s">
        <v>827</v>
      </c>
      <c r="L62" s="104"/>
      <c r="M62" s="241" t="s">
        <v>828</v>
      </c>
      <c r="N62" s="187" t="s">
        <v>829</v>
      </c>
      <c r="O62" s="172" t="s">
        <v>35</v>
      </c>
      <c r="P62" s="173">
        <v>0.3</v>
      </c>
      <c r="Q62" s="174"/>
    </row>
    <row r="63" spans="1:17" ht="14.25">
      <c r="A63" s="175"/>
      <c r="B63" s="187" t="s">
        <v>830</v>
      </c>
      <c r="C63" s="188" t="s">
        <v>831</v>
      </c>
      <c r="D63" s="177" t="s">
        <v>832</v>
      </c>
      <c r="E63" s="187" t="s">
        <v>833</v>
      </c>
      <c r="F63" s="189">
        <v>16615312.560000001</v>
      </c>
      <c r="G63" s="195"/>
      <c r="H63" s="195"/>
      <c r="I63" s="101" t="s">
        <v>844</v>
      </c>
      <c r="J63" s="97" t="s">
        <v>834</v>
      </c>
      <c r="K63" s="175" t="s">
        <v>827</v>
      </c>
      <c r="L63" s="179"/>
      <c r="M63" s="241" t="s">
        <v>835</v>
      </c>
      <c r="N63" s="184"/>
      <c r="O63" s="180" t="s">
        <v>35</v>
      </c>
      <c r="P63" s="181"/>
      <c r="Q63" s="174"/>
    </row>
    <row r="64" spans="1:17" ht="14.25">
      <c r="A64" s="97"/>
      <c r="B64" s="97" t="s">
        <v>836</v>
      </c>
      <c r="C64" s="120" t="s">
        <v>518</v>
      </c>
      <c r="D64" s="120" t="s">
        <v>837</v>
      </c>
      <c r="E64" s="97" t="s">
        <v>838</v>
      </c>
      <c r="F64" s="100">
        <v>32599299.48</v>
      </c>
      <c r="G64" s="101"/>
      <c r="H64" s="101"/>
      <c r="I64" s="101" t="s">
        <v>844</v>
      </c>
      <c r="J64" s="97" t="s">
        <v>839</v>
      </c>
      <c r="K64" s="97" t="s">
        <v>827</v>
      </c>
      <c r="L64" s="104"/>
      <c r="M64" s="104">
        <v>120</v>
      </c>
      <c r="N64" s="105" t="s">
        <v>697</v>
      </c>
      <c r="O64" s="172" t="s">
        <v>35</v>
      </c>
      <c r="P64" s="173"/>
      <c r="Q64" s="174"/>
    </row>
    <row r="65" spans="1:17" ht="17.649999999999999">
      <c r="A65" s="10" t="s">
        <v>840</v>
      </c>
      <c r="B65" s="11"/>
      <c r="C65" s="242"/>
      <c r="D65" s="11"/>
      <c r="E65" s="11"/>
      <c r="F65" s="11"/>
      <c r="G65" s="11"/>
      <c r="H65" s="11"/>
      <c r="I65" s="11"/>
      <c r="J65" s="11"/>
      <c r="K65" s="11"/>
      <c r="L65" s="11"/>
      <c r="M65" s="11"/>
      <c r="N65" s="11"/>
      <c r="O65" s="11"/>
      <c r="P65" s="11"/>
      <c r="Q65" s="169"/>
    </row>
    <row r="66" spans="1:17" ht="37.5" customHeight="1">
      <c r="A66" s="97"/>
      <c r="B66" s="97"/>
      <c r="C66" s="120"/>
      <c r="D66" s="120"/>
      <c r="E66" s="97"/>
      <c r="F66" s="100"/>
      <c r="G66" s="101"/>
      <c r="H66" s="101"/>
      <c r="I66" s="240"/>
      <c r="J66" s="103"/>
      <c r="K66" s="97"/>
      <c r="L66" s="104"/>
      <c r="M66" s="104"/>
      <c r="N66" s="102"/>
      <c r="O66" s="172"/>
      <c r="P66" s="173"/>
      <c r="Q66" s="243"/>
    </row>
    <row r="67" spans="1:17" ht="17.649999999999999">
      <c r="A67" s="214" t="s">
        <v>841</v>
      </c>
      <c r="B67" s="244"/>
      <c r="C67" s="244"/>
      <c r="D67" s="244"/>
      <c r="E67" s="244"/>
      <c r="F67" s="244"/>
      <c r="G67" s="244"/>
      <c r="H67" s="244"/>
      <c r="I67" s="244"/>
      <c r="J67" s="244"/>
      <c r="K67" s="244"/>
      <c r="L67" s="244"/>
      <c r="M67" s="244"/>
      <c r="N67" s="244"/>
      <c r="O67" s="244"/>
      <c r="P67" s="96"/>
      <c r="Q67" s="169"/>
    </row>
    <row r="68" spans="1:17" ht="14.25">
      <c r="A68" s="245"/>
      <c r="B68" s="245"/>
      <c r="C68" s="245"/>
      <c r="D68" s="245"/>
      <c r="E68" s="245"/>
      <c r="F68" s="245"/>
      <c r="G68" s="245"/>
      <c r="H68" s="245"/>
      <c r="I68" s="245"/>
      <c r="J68" s="245"/>
      <c r="K68" s="245"/>
      <c r="L68" s="245"/>
      <c r="M68" s="245"/>
      <c r="N68" s="245"/>
      <c r="O68" s="245"/>
      <c r="P68" s="246"/>
      <c r="Q68" s="247"/>
    </row>
    <row r="69" spans="1:17" ht="14.25">
      <c r="A69" s="116" t="s">
        <v>182</v>
      </c>
      <c r="B69" s="83"/>
      <c r="C69" s="83"/>
      <c r="D69" s="83"/>
      <c r="E69" s="83"/>
      <c r="F69" s="83"/>
      <c r="G69" s="83"/>
      <c r="H69" s="83"/>
      <c r="I69" s="83"/>
      <c r="J69" s="83"/>
      <c r="K69" s="83"/>
      <c r="L69" s="83"/>
      <c r="M69" s="83"/>
      <c r="N69" s="83"/>
      <c r="O69" s="83"/>
      <c r="P69" s="83"/>
      <c r="Q69" s="85"/>
    </row>
    <row r="70" spans="1:17" ht="14.25">
      <c r="A70" s="116" t="s">
        <v>842</v>
      </c>
      <c r="B70" s="83"/>
      <c r="C70" s="83"/>
      <c r="D70" s="83"/>
      <c r="E70" s="83"/>
      <c r="F70" s="83"/>
      <c r="G70" s="83"/>
      <c r="H70" s="83"/>
      <c r="I70" s="83"/>
      <c r="J70" s="83"/>
      <c r="K70" s="83"/>
      <c r="L70" s="83"/>
      <c r="M70" s="83"/>
      <c r="N70" s="83"/>
      <c r="O70" s="83"/>
      <c r="P70" s="83"/>
      <c r="Q70" s="85"/>
    </row>
    <row r="71" spans="1:17" ht="14.25">
      <c r="A71" s="116" t="s">
        <v>843</v>
      </c>
      <c r="B71" s="83"/>
      <c r="C71" s="83"/>
      <c r="D71" s="83"/>
      <c r="E71" s="83"/>
      <c r="F71" s="83"/>
      <c r="G71" s="83"/>
      <c r="H71" s="83"/>
      <c r="I71" s="83"/>
      <c r="J71" s="83"/>
      <c r="K71" s="83"/>
      <c r="L71" s="83"/>
      <c r="M71" s="83"/>
      <c r="N71" s="83"/>
      <c r="O71" s="83"/>
      <c r="P71" s="83"/>
      <c r="Q71"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2022-07-18T23:32:01Z</dcterms:modified>
</cp:coreProperties>
</file>